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Y27" i="1" l="1"/>
  <c r="T17" i="1" l="1"/>
  <c r="U17" i="1"/>
  <c r="W17" i="1"/>
  <c r="Y17" i="1"/>
  <c r="S66" i="1"/>
  <c r="S17" i="1" s="1"/>
  <c r="R66" i="1"/>
  <c r="R17" i="1" s="1"/>
  <c r="Q66" i="1"/>
  <c r="Q17" i="1" s="1"/>
  <c r="P66" i="1"/>
  <c r="P17" i="1" s="1"/>
  <c r="O66" i="1"/>
  <c r="O17" i="1" s="1"/>
  <c r="M66" i="1"/>
  <c r="M17" i="1" s="1"/>
  <c r="L66" i="1"/>
  <c r="L17" i="1" s="1"/>
  <c r="K66" i="1"/>
  <c r="K17" i="1" s="1"/>
  <c r="J66" i="1"/>
  <c r="J17" i="1" s="1"/>
  <c r="I66" i="1"/>
  <c r="I17" i="1" s="1"/>
  <c r="G66" i="1"/>
  <c r="G17" i="1" s="1"/>
  <c r="F66" i="1"/>
  <c r="F17" i="1" s="1"/>
  <c r="E66" i="1"/>
  <c r="E17" i="1" s="1"/>
  <c r="D66" i="1"/>
  <c r="D17" i="1" s="1"/>
  <c r="C66" i="1"/>
  <c r="C17" i="1" s="1"/>
  <c r="N17" i="1"/>
  <c r="H17" i="1"/>
  <c r="N15" i="1" l="1"/>
  <c r="S64" i="1"/>
  <c r="S15" i="1" s="1"/>
  <c r="R64" i="1"/>
  <c r="R15" i="1" s="1"/>
  <c r="Q64" i="1"/>
  <c r="Q15" i="1" s="1"/>
  <c r="P64" i="1"/>
  <c r="P15" i="1" s="1"/>
  <c r="O64" i="1"/>
  <c r="O15" i="1" s="1"/>
  <c r="F36" i="1"/>
  <c r="D36" i="1"/>
  <c r="E36" i="1"/>
  <c r="F34" i="1"/>
  <c r="D34" i="1"/>
  <c r="E34" i="1"/>
  <c r="C35" i="1" l="1"/>
  <c r="C36" i="1"/>
  <c r="C37" i="1"/>
  <c r="C34" i="1"/>
  <c r="Y15" i="1"/>
  <c r="Y16" i="1"/>
  <c r="Y18" i="1"/>
  <c r="Y19" i="1"/>
  <c r="Y20" i="1"/>
  <c r="Y21" i="1"/>
  <c r="Y22" i="1"/>
  <c r="Y23" i="1"/>
  <c r="Y24" i="1"/>
  <c r="Y25" i="1"/>
  <c r="Y26" i="1"/>
  <c r="Y28" i="1"/>
  <c r="Y14" i="1"/>
  <c r="N16" i="1" l="1"/>
  <c r="D72" i="1" l="1"/>
  <c r="Q63" i="1"/>
  <c r="K68" i="1"/>
  <c r="O63" i="1"/>
  <c r="P63" i="1"/>
  <c r="O65" i="1"/>
  <c r="P65" i="1"/>
  <c r="S65" i="1" l="1"/>
  <c r="S16" i="1" s="1"/>
  <c r="R65" i="1"/>
  <c r="R16" i="1" s="1"/>
  <c r="Q65" i="1"/>
  <c r="Q16" i="1" s="1"/>
  <c r="P16" i="1"/>
  <c r="O16" i="1"/>
  <c r="S63" i="1" l="1"/>
  <c r="S14" i="1" s="1"/>
  <c r="R63" i="1"/>
  <c r="R14" i="1" s="1"/>
  <c r="Q14" i="1"/>
  <c r="U15" i="1" l="1"/>
  <c r="U16" i="1"/>
  <c r="U18" i="1"/>
  <c r="U19" i="1"/>
  <c r="U20" i="1"/>
  <c r="U21" i="1"/>
  <c r="U22" i="1"/>
  <c r="U23" i="1"/>
  <c r="U24" i="1"/>
  <c r="U25" i="1"/>
  <c r="U26" i="1"/>
  <c r="U27" i="1"/>
  <c r="U28" i="1"/>
  <c r="N14" i="1" l="1"/>
  <c r="K63" i="1"/>
  <c r="P14" i="1"/>
  <c r="O14" i="1"/>
  <c r="H27" i="1" l="1"/>
  <c r="W27" i="1"/>
  <c r="T27" i="1"/>
  <c r="M76" i="1"/>
  <c r="M27" i="1" s="1"/>
  <c r="L76" i="1"/>
  <c r="L27" i="1" s="1"/>
  <c r="K76" i="1"/>
  <c r="K27" i="1" s="1"/>
  <c r="J76" i="1"/>
  <c r="J27" i="1" s="1"/>
  <c r="I76" i="1"/>
  <c r="I27" i="1" s="1"/>
  <c r="G76" i="1"/>
  <c r="G27" i="1" s="1"/>
  <c r="F76" i="1"/>
  <c r="F27" i="1" s="1"/>
  <c r="E76" i="1"/>
  <c r="E27" i="1" s="1"/>
  <c r="D76" i="1"/>
  <c r="D27" i="1" s="1"/>
  <c r="C76" i="1"/>
  <c r="C27" i="1" s="1"/>
  <c r="W16" i="1"/>
  <c r="W15" i="1"/>
  <c r="T16" i="1"/>
  <c r="T15" i="1"/>
  <c r="H16" i="1"/>
  <c r="M65" i="1"/>
  <c r="M16" i="1" s="1"/>
  <c r="L65" i="1"/>
  <c r="L16" i="1" s="1"/>
  <c r="K65" i="1"/>
  <c r="K16" i="1" s="1"/>
  <c r="J65" i="1"/>
  <c r="J16" i="1" s="1"/>
  <c r="I65" i="1"/>
  <c r="I16" i="1" s="1"/>
  <c r="G65" i="1"/>
  <c r="G16" i="1" s="1"/>
  <c r="F65" i="1"/>
  <c r="F16" i="1" s="1"/>
  <c r="E65" i="1"/>
  <c r="E16" i="1" s="1"/>
  <c r="D65" i="1" l="1"/>
  <c r="D16" i="1" s="1"/>
  <c r="C65" i="1"/>
  <c r="C16" i="1" s="1"/>
  <c r="H15" i="1"/>
  <c r="M64" i="1"/>
  <c r="M15" i="1" s="1"/>
  <c r="L64" i="1"/>
  <c r="L15" i="1" s="1"/>
  <c r="K64" i="1"/>
  <c r="K15" i="1" s="1"/>
  <c r="J64" i="1"/>
  <c r="J15" i="1" s="1"/>
  <c r="I64" i="1"/>
  <c r="I15" i="1" s="1"/>
  <c r="G64" i="1"/>
  <c r="G15" i="1" s="1"/>
  <c r="F64" i="1"/>
  <c r="F15" i="1" s="1"/>
  <c r="E64" i="1"/>
  <c r="E15" i="1" s="1"/>
  <c r="D64" i="1"/>
  <c r="D15" i="1" s="1"/>
  <c r="C64" i="1"/>
  <c r="C15" i="1" s="1"/>
  <c r="U14" i="1" l="1"/>
  <c r="X14" i="1" l="1"/>
  <c r="W18" i="1"/>
  <c r="W19" i="1"/>
  <c r="W20" i="1"/>
  <c r="W21" i="1"/>
  <c r="W22" i="1"/>
  <c r="W23" i="1"/>
  <c r="W24" i="1"/>
  <c r="W25" i="1"/>
  <c r="W26" i="1"/>
  <c r="W28" i="1"/>
  <c r="V14" i="1"/>
  <c r="T18" i="1"/>
  <c r="T19" i="1"/>
  <c r="T20" i="1"/>
  <c r="T21" i="1"/>
  <c r="T22" i="1"/>
  <c r="T23" i="1"/>
  <c r="T24" i="1"/>
  <c r="T25" i="1"/>
  <c r="T26" i="1"/>
  <c r="T28" i="1"/>
  <c r="H18" i="1"/>
  <c r="F18" i="1" s="1"/>
  <c r="H19" i="1"/>
  <c r="M19" i="1" s="1"/>
  <c r="H20" i="1"/>
  <c r="M20" i="1" s="1"/>
  <c r="H21" i="1"/>
  <c r="F21" i="1" s="1"/>
  <c r="H22" i="1"/>
  <c r="D22" i="1" s="1"/>
  <c r="H23" i="1"/>
  <c r="M23" i="1" s="1"/>
  <c r="H24" i="1"/>
  <c r="M24" i="1" s="1"/>
  <c r="H25" i="1"/>
  <c r="M25" i="1" s="1"/>
  <c r="H26" i="1"/>
  <c r="F26" i="1" s="1"/>
  <c r="W14" i="1"/>
  <c r="T14" i="1"/>
  <c r="H14" i="1"/>
  <c r="F14" i="1" s="1"/>
  <c r="L75" i="1"/>
  <c r="J63" i="1"/>
  <c r="K75" i="1"/>
  <c r="I75" i="1"/>
  <c r="F75" i="1"/>
  <c r="D75" i="1"/>
  <c r="C75" i="1"/>
  <c r="M74" i="1"/>
  <c r="L74" i="1"/>
  <c r="K74" i="1"/>
  <c r="J74" i="1"/>
  <c r="I74" i="1"/>
  <c r="G74" i="1"/>
  <c r="F74" i="1"/>
  <c r="E74" i="1"/>
  <c r="D74" i="1"/>
  <c r="C74" i="1"/>
  <c r="M73" i="1"/>
  <c r="L73" i="1"/>
  <c r="K73" i="1"/>
  <c r="J73" i="1"/>
  <c r="I73" i="1"/>
  <c r="G73" i="1"/>
  <c r="F73" i="1"/>
  <c r="E73" i="1"/>
  <c r="D73" i="1"/>
  <c r="C73" i="1"/>
  <c r="M72" i="1"/>
  <c r="L72" i="1"/>
  <c r="K72" i="1"/>
  <c r="J72" i="1"/>
  <c r="I72" i="1"/>
  <c r="G72" i="1"/>
  <c r="F72" i="1"/>
  <c r="E72" i="1"/>
  <c r="C72" i="1"/>
  <c r="M71" i="1"/>
  <c r="L71" i="1"/>
  <c r="K71" i="1"/>
  <c r="J71" i="1"/>
  <c r="I71" i="1"/>
  <c r="G71" i="1"/>
  <c r="F71" i="1"/>
  <c r="E71" i="1"/>
  <c r="D71" i="1"/>
  <c r="C71" i="1"/>
  <c r="M70" i="1"/>
  <c r="L70" i="1"/>
  <c r="K70" i="1"/>
  <c r="J70" i="1"/>
  <c r="I70" i="1"/>
  <c r="G70" i="1"/>
  <c r="F70" i="1"/>
  <c r="E70" i="1"/>
  <c r="D70" i="1"/>
  <c r="C70" i="1"/>
  <c r="M69" i="1"/>
  <c r="L69" i="1"/>
  <c r="K69" i="1"/>
  <c r="J69" i="1"/>
  <c r="I69" i="1"/>
  <c r="G69" i="1"/>
  <c r="F69" i="1"/>
  <c r="E69" i="1"/>
  <c r="D69" i="1"/>
  <c r="C69" i="1"/>
  <c r="M68" i="1"/>
  <c r="L68" i="1"/>
  <c r="J68" i="1"/>
  <c r="I68" i="1"/>
  <c r="G68" i="1"/>
  <c r="F68" i="1"/>
  <c r="E68" i="1"/>
  <c r="D68" i="1"/>
  <c r="C68" i="1"/>
  <c r="M67" i="1"/>
  <c r="L67" i="1"/>
  <c r="K67" i="1"/>
  <c r="J67" i="1"/>
  <c r="I67" i="1"/>
  <c r="G67" i="1"/>
  <c r="F67" i="1"/>
  <c r="E67" i="1"/>
  <c r="D67" i="1"/>
  <c r="C67" i="1"/>
  <c r="M26" i="1" l="1"/>
  <c r="M22" i="1"/>
  <c r="F19" i="1"/>
  <c r="D20" i="1"/>
  <c r="D18" i="1"/>
  <c r="F22" i="1"/>
  <c r="D23" i="1"/>
  <c r="F23" i="1"/>
  <c r="M14" i="1"/>
  <c r="D14" i="1"/>
  <c r="M18" i="1"/>
  <c r="D24" i="1"/>
  <c r="D19" i="1"/>
  <c r="F24" i="1"/>
  <c r="D25" i="1"/>
  <c r="F20" i="1"/>
  <c r="M21" i="1"/>
  <c r="F25" i="1"/>
  <c r="D21" i="1"/>
  <c r="M75" i="1"/>
  <c r="E75" i="1"/>
  <c r="G75" i="1"/>
  <c r="J75" i="1"/>
  <c r="D26" i="1"/>
  <c r="J14" i="1"/>
  <c r="L14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C14" i="1"/>
  <c r="E14" i="1"/>
  <c r="G14" i="1"/>
  <c r="I14" i="1"/>
  <c r="K14" i="1"/>
  <c r="C18" i="1"/>
  <c r="E18" i="1"/>
  <c r="G18" i="1"/>
  <c r="I18" i="1"/>
  <c r="K18" i="1"/>
  <c r="C19" i="1"/>
  <c r="E19" i="1"/>
  <c r="G19" i="1"/>
  <c r="I19" i="1"/>
  <c r="K19" i="1"/>
  <c r="C20" i="1"/>
  <c r="E20" i="1"/>
  <c r="G20" i="1"/>
  <c r="I20" i="1"/>
  <c r="K20" i="1"/>
  <c r="C21" i="1"/>
  <c r="E21" i="1"/>
  <c r="G21" i="1"/>
  <c r="I21" i="1"/>
  <c r="K21" i="1"/>
  <c r="C22" i="1"/>
  <c r="E22" i="1"/>
  <c r="G22" i="1"/>
  <c r="I22" i="1"/>
  <c r="K22" i="1"/>
  <c r="C23" i="1"/>
  <c r="E23" i="1"/>
  <c r="G23" i="1"/>
  <c r="I23" i="1"/>
  <c r="K23" i="1"/>
  <c r="C24" i="1"/>
  <c r="E24" i="1"/>
  <c r="G24" i="1"/>
  <c r="I24" i="1"/>
  <c r="K24" i="1"/>
  <c r="C25" i="1"/>
  <c r="E25" i="1"/>
  <c r="G25" i="1"/>
  <c r="I25" i="1"/>
  <c r="K25" i="1"/>
  <c r="C26" i="1"/>
  <c r="E26" i="1"/>
  <c r="G26" i="1"/>
  <c r="I26" i="1"/>
  <c r="K26" i="1"/>
  <c r="E63" i="1"/>
  <c r="L63" i="1"/>
  <c r="M63" i="1"/>
  <c r="C63" i="1"/>
  <c r="G63" i="1"/>
  <c r="D63" i="1"/>
  <c r="F63" i="1"/>
  <c r="I63" i="1"/>
</calcChain>
</file>

<file path=xl/sharedStrings.xml><?xml version="1.0" encoding="utf-8"?>
<sst xmlns="http://schemas.openxmlformats.org/spreadsheetml/2006/main" count="174" uniqueCount="58">
  <si>
    <t>§ 2</t>
  </si>
  <si>
    <t>I. Drewno pozyskane kosztem Nadleśnictwa.</t>
  </si>
  <si>
    <t>CENIK NETTO</t>
  </si>
  <si>
    <t>LP</t>
  </si>
  <si>
    <t>WA0</t>
  </si>
  <si>
    <t>WB0</t>
  </si>
  <si>
    <t>WC0</t>
  </si>
  <si>
    <t>WD</t>
  </si>
  <si>
    <t>S 2A</t>
  </si>
  <si>
    <t>S 2B</t>
  </si>
  <si>
    <t>S 3B</t>
  </si>
  <si>
    <t>S 4</t>
  </si>
  <si>
    <t>cien</t>
  </si>
  <si>
    <t>gruba</t>
  </si>
  <si>
    <t>Jedn.sprzedaży</t>
  </si>
  <si>
    <t>m3</t>
  </si>
  <si>
    <t>Iglaste-wszystkie</t>
  </si>
  <si>
    <t>Dąb</t>
  </si>
  <si>
    <t>Brzoza</t>
  </si>
  <si>
    <t>Olcha</t>
  </si>
  <si>
    <t>Buk</t>
  </si>
  <si>
    <t>Grab</t>
  </si>
  <si>
    <t>Jesion</t>
  </si>
  <si>
    <t>Jawor</t>
  </si>
  <si>
    <t>Wiąz</t>
  </si>
  <si>
    <t>Akacja</t>
  </si>
  <si>
    <t>Pozostałe liść.*</t>
  </si>
  <si>
    <t>M 1</t>
  </si>
  <si>
    <t>M 2</t>
  </si>
  <si>
    <t>Stroisz</t>
  </si>
  <si>
    <t>mp</t>
  </si>
  <si>
    <t>Brz,Ol,Wz,Ak</t>
  </si>
  <si>
    <t>Pozostałe liść.</t>
  </si>
  <si>
    <r>
      <t xml:space="preserve">CENNIK DETALICZNY NA DREWNO </t>
    </r>
    <r>
      <rPr>
        <sz val="8"/>
        <rFont val="Arial"/>
        <family val="2"/>
        <charset val="238"/>
      </rPr>
      <t>w korze, loco-las po zrywce</t>
    </r>
  </si>
  <si>
    <t>§ 1</t>
  </si>
  <si>
    <t>CENNIK BRUTTO</t>
  </si>
  <si>
    <t>str. 1</t>
  </si>
  <si>
    <t>S4</t>
  </si>
  <si>
    <t xml:space="preserve"> </t>
  </si>
  <si>
    <t xml:space="preserve">  </t>
  </si>
  <si>
    <t>Db,Bk,Gb,Jś</t>
  </si>
  <si>
    <t xml:space="preserve">Dla sortymentu M2 i KO istnieje możliwość zastosowania rabatu w wysokości do 80% w przypadku wyrobu sortymentu wraz </t>
  </si>
  <si>
    <t>z oczyszczeniem powierzchni (wyniesienie gałęzi/ wywiezienie karpiny). Wysokość rabatu ustala leśniczy i wpisuje na wykaz odbiorczy drewna.</t>
  </si>
  <si>
    <t>z oczyszczeniem powierzchni (wyniesienie gałęzi/wywiezieniem karpiny). Wysokość rabatu ustala leśniczy i wpisuje na wykaz odbiorczy drewna.</t>
  </si>
  <si>
    <t>S2AP</t>
  </si>
  <si>
    <t>Sosna</t>
  </si>
  <si>
    <t>Swierk</t>
  </si>
  <si>
    <t>Modrzew</t>
  </si>
  <si>
    <t>Świerk</t>
  </si>
  <si>
    <t>Topola</t>
  </si>
  <si>
    <t>II. Drewno pozyskane kosztem nabywcy.</t>
  </si>
  <si>
    <t>WCK</t>
  </si>
  <si>
    <t>WDK</t>
  </si>
  <si>
    <t>* - Wierzba, osika, klon, lipa, czeremcha, kasztanowiec, dąb czerwony</t>
  </si>
  <si>
    <t>Daglezja</t>
  </si>
  <si>
    <t xml:space="preserve">obowiązujący w Nadleśnictwie Żołędowo </t>
  </si>
  <si>
    <t xml:space="preserve">Dla sortymentu M2 istnieje możliwość zastosowania rabatu w wysokości do 80% w przypadku wyrobu sortymentu wraz </t>
  </si>
  <si>
    <t xml:space="preserve">Załącznik do zarządzenie nr 1/2023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</si>
</sst>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2" fontId="1" fillId="2" borderId="3" xfId="0" applyNumberFormat="1" applyFont="1" applyFill="1" applyBorder="1" applyAlignment="1">
      <alignment horizontal="center"/>
    </xf>
    <xf numFmtId="0" fontId="1" fillId="0" borderId="13" xfId="0" applyFont="1" applyBorder="1"/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4" xfId="0" applyFont="1" applyBorder="1"/>
    <xf numFmtId="2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8" xfId="0" applyFont="1" applyBorder="1"/>
    <xf numFmtId="2" fontId="1" fillId="0" borderId="6" xfId="0" applyNumberFormat="1" applyFont="1" applyBorder="1"/>
    <xf numFmtId="2" fontId="1" fillId="0" borderId="0" xfId="0" applyNumberFormat="1" applyFont="1"/>
    <xf numFmtId="0" fontId="1" fillId="0" borderId="19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2" fontId="1" fillId="0" borderId="0" xfId="0" applyNumberFormat="1" applyFont="1" applyBorder="1"/>
    <xf numFmtId="0" fontId="3" fillId="0" borderId="6" xfId="0" applyFont="1" applyBorder="1"/>
    <xf numFmtId="2" fontId="3" fillId="2" borderId="3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21" xfId="0" applyFont="1" applyFill="1" applyBorder="1"/>
    <xf numFmtId="0" fontId="1" fillId="0" borderId="22" xfId="0" applyFont="1" applyFill="1" applyBorder="1"/>
    <xf numFmtId="0" fontId="1" fillId="0" borderId="16" xfId="0" applyFont="1" applyFill="1" applyBorder="1"/>
    <xf numFmtId="0" fontId="1" fillId="0" borderId="23" xfId="0" applyFont="1" applyFill="1" applyBorder="1"/>
    <xf numFmtId="0" fontId="1" fillId="0" borderId="15" xfId="0" applyFont="1" applyFill="1" applyBorder="1"/>
    <xf numFmtId="2" fontId="1" fillId="0" borderId="4" xfId="0" applyNumberFormat="1" applyFont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2" fontId="1" fillId="2" borderId="18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3" fillId="2" borderId="2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9" xfId="0" applyNumberFormat="1" applyFont="1" applyBorder="1"/>
    <xf numFmtId="2" fontId="3" fillId="2" borderId="27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6" xfId="0" applyNumberFormat="1" applyFont="1" applyFill="1" applyBorder="1"/>
    <xf numFmtId="2" fontId="1" fillId="0" borderId="7" xfId="0" applyNumberFormat="1" applyFont="1" applyFill="1" applyBorder="1"/>
    <xf numFmtId="2" fontId="1" fillId="0" borderId="9" xfId="0" applyNumberFormat="1" applyFont="1" applyFill="1" applyBorder="1"/>
    <xf numFmtId="2" fontId="1" fillId="0" borderId="9" xfId="0" applyNumberFormat="1" applyFont="1" applyFill="1" applyBorder="1" applyAlignment="1">
      <alignment horizontal="center"/>
    </xf>
    <xf numFmtId="2" fontId="1" fillId="0" borderId="10" xfId="0" applyNumberFormat="1" applyFont="1" applyFill="1" applyBorder="1"/>
    <xf numFmtId="2" fontId="1" fillId="0" borderId="6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20" xfId="0" applyNumberFormat="1" applyFont="1" applyBorder="1"/>
    <xf numFmtId="2" fontId="1" fillId="0" borderId="29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1" fillId="0" borderId="7" xfId="0" applyNumberFormat="1" applyFont="1" applyBorder="1"/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/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17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tabSelected="1" zoomScale="120" zoomScaleNormal="120" workbookViewId="0">
      <selection activeCell="Y78" sqref="Y78"/>
    </sheetView>
  </sheetViews>
  <sheetFormatPr defaultColWidth="9.140625" defaultRowHeight="11.25" x14ac:dyDescent="0.2"/>
  <cols>
    <col min="1" max="1" width="3.7109375" style="1" customWidth="1"/>
    <col min="2" max="2" width="12.85546875" style="1" customWidth="1"/>
    <col min="3" max="24" width="6.7109375" style="1" customWidth="1"/>
    <col min="25" max="25" width="6.7109375" style="24" customWidth="1"/>
    <col min="26" max="16384" width="9.140625" style="1"/>
  </cols>
  <sheetData>
    <row r="1" spans="1:25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x14ac:dyDescent="0.2">
      <c r="A2" s="111"/>
      <c r="B2" s="111"/>
      <c r="C2" s="111"/>
      <c r="D2" s="111"/>
      <c r="E2" s="110" t="s">
        <v>57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21"/>
      <c r="X2" s="21"/>
      <c r="Y2" s="21"/>
    </row>
    <row r="3" spans="1:25" x14ac:dyDescent="0.2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x14ac:dyDescent="0.2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5" x14ac:dyDescent="0.2">
      <c r="B5" s="110" t="s">
        <v>33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x14ac:dyDescent="0.2">
      <c r="B6" s="110" t="s">
        <v>55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x14ac:dyDescent="0.2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</row>
    <row r="8" spans="1:25" x14ac:dyDescent="0.2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9" spans="1:25" x14ac:dyDescent="0.2">
      <c r="B9" s="111" t="s">
        <v>34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12" thickBot="1" x14ac:dyDescent="0.25">
      <c r="B10" s="2" t="s">
        <v>1</v>
      </c>
      <c r="G10" s="21" t="s">
        <v>35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 t="s">
        <v>38</v>
      </c>
      <c r="U10" s="21"/>
      <c r="V10" s="21"/>
      <c r="W10" s="21"/>
      <c r="X10" s="21"/>
      <c r="Y10" s="53"/>
    </row>
    <row r="11" spans="1:25" ht="15" customHeight="1" x14ac:dyDescent="0.2">
      <c r="A11" s="123" t="s">
        <v>3</v>
      </c>
      <c r="B11" s="3"/>
      <c r="C11" s="118" t="s">
        <v>4</v>
      </c>
      <c r="D11" s="118"/>
      <c r="E11" s="118" t="s">
        <v>5</v>
      </c>
      <c r="F11" s="118"/>
      <c r="G11" s="118"/>
      <c r="H11" s="118" t="s">
        <v>6</v>
      </c>
      <c r="I11" s="118"/>
      <c r="J11" s="118"/>
      <c r="K11" s="118" t="s">
        <v>7</v>
      </c>
      <c r="L11" s="118"/>
      <c r="M11" s="118"/>
      <c r="N11" s="107" t="s">
        <v>51</v>
      </c>
      <c r="O11" s="108"/>
      <c r="P11" s="109"/>
      <c r="Q11" s="107" t="s">
        <v>52</v>
      </c>
      <c r="R11" s="108"/>
      <c r="S11" s="109"/>
      <c r="T11" s="80" t="s">
        <v>8</v>
      </c>
      <c r="U11" s="80" t="s">
        <v>44</v>
      </c>
      <c r="V11" s="118" t="s">
        <v>9</v>
      </c>
      <c r="W11" s="118"/>
      <c r="X11" s="3" t="s">
        <v>10</v>
      </c>
      <c r="Y11" s="81" t="s">
        <v>11</v>
      </c>
    </row>
    <row r="12" spans="1:25" x14ac:dyDescent="0.2">
      <c r="A12" s="124"/>
      <c r="B12" s="4"/>
      <c r="C12" s="4">
        <v>2</v>
      </c>
      <c r="D12" s="4">
        <v>3</v>
      </c>
      <c r="E12" s="4">
        <v>1</v>
      </c>
      <c r="F12" s="4">
        <v>2</v>
      </c>
      <c r="G12" s="4">
        <v>3</v>
      </c>
      <c r="H12" s="31">
        <v>1</v>
      </c>
      <c r="I12" s="4">
        <v>2</v>
      </c>
      <c r="J12" s="4">
        <v>3</v>
      </c>
      <c r="K12" s="4">
        <v>1</v>
      </c>
      <c r="L12" s="4">
        <v>2</v>
      </c>
      <c r="M12" s="4">
        <v>3</v>
      </c>
      <c r="N12" s="4">
        <v>1</v>
      </c>
      <c r="O12" s="4">
        <v>2</v>
      </c>
      <c r="P12" s="4">
        <v>3</v>
      </c>
      <c r="Q12" s="4">
        <v>1</v>
      </c>
      <c r="R12" s="4">
        <v>2</v>
      </c>
      <c r="S12" s="4">
        <v>3</v>
      </c>
      <c r="T12" s="78"/>
      <c r="U12" s="78"/>
      <c r="V12" s="4" t="s">
        <v>12</v>
      </c>
      <c r="W12" s="4" t="s">
        <v>13</v>
      </c>
      <c r="X12" s="4"/>
      <c r="Y12" s="79"/>
    </row>
    <row r="13" spans="1:25" ht="12" thickBot="1" x14ac:dyDescent="0.25">
      <c r="A13" s="125"/>
      <c r="B13" s="7" t="s">
        <v>14</v>
      </c>
      <c r="C13" s="6" t="s">
        <v>15</v>
      </c>
      <c r="D13" s="6" t="s">
        <v>15</v>
      </c>
      <c r="E13" s="6" t="s">
        <v>15</v>
      </c>
      <c r="F13" s="6" t="s">
        <v>15</v>
      </c>
      <c r="G13" s="6" t="s">
        <v>15</v>
      </c>
      <c r="H13" s="38" t="s">
        <v>15</v>
      </c>
      <c r="I13" s="6" t="s">
        <v>15</v>
      </c>
      <c r="J13" s="6" t="s">
        <v>15</v>
      </c>
      <c r="K13" s="6" t="s">
        <v>15</v>
      </c>
      <c r="L13" s="6" t="s">
        <v>15</v>
      </c>
      <c r="M13" s="6" t="s">
        <v>15</v>
      </c>
      <c r="N13" s="6" t="s">
        <v>15</v>
      </c>
      <c r="O13" s="6" t="s">
        <v>15</v>
      </c>
      <c r="P13" s="6" t="s">
        <v>15</v>
      </c>
      <c r="Q13" s="6" t="s">
        <v>15</v>
      </c>
      <c r="R13" s="6" t="s">
        <v>15</v>
      </c>
      <c r="S13" s="6" t="s">
        <v>15</v>
      </c>
      <c r="T13" s="39" t="s">
        <v>15</v>
      </c>
      <c r="U13" s="39" t="s">
        <v>15</v>
      </c>
      <c r="V13" s="6" t="s">
        <v>15</v>
      </c>
      <c r="W13" s="6" t="s">
        <v>15</v>
      </c>
      <c r="X13" s="6" t="s">
        <v>15</v>
      </c>
      <c r="Y13" s="93" t="s">
        <v>15</v>
      </c>
    </row>
    <row r="14" spans="1:25" ht="12" thickBot="1" x14ac:dyDescent="0.25">
      <c r="A14" s="8">
        <v>1</v>
      </c>
      <c r="B14" s="40" t="s">
        <v>45</v>
      </c>
      <c r="C14" s="50">
        <f>1.634*H14</f>
        <v>904.41899999999998</v>
      </c>
      <c r="D14" s="9">
        <f>2.001*H14</f>
        <v>1107.5535</v>
      </c>
      <c r="E14" s="9">
        <f>1.1*H14</f>
        <v>608.85</v>
      </c>
      <c r="F14" s="9">
        <f>1.354*H14</f>
        <v>749.43900000000008</v>
      </c>
      <c r="G14" s="9">
        <f>1.546*H14</f>
        <v>855.71100000000001</v>
      </c>
      <c r="H14" s="32">
        <f>H63*1.23</f>
        <v>553.5</v>
      </c>
      <c r="I14" s="9">
        <f>1.169*H14</f>
        <v>647.04150000000004</v>
      </c>
      <c r="J14" s="9">
        <f>1.332*H14</f>
        <v>737.26200000000006</v>
      </c>
      <c r="K14" s="9">
        <f>0.765*H14</f>
        <v>423.42750000000001</v>
      </c>
      <c r="L14" s="9">
        <f>0.832*H14</f>
        <v>460.512</v>
      </c>
      <c r="M14" s="9">
        <f>0.903*H14</f>
        <v>499.81049999999999</v>
      </c>
      <c r="N14" s="71">
        <f t="shared" ref="N14:S15" si="0">N63*1.23</f>
        <v>528.9</v>
      </c>
      <c r="O14" s="62">
        <f t="shared" si="0"/>
        <v>618.28409999999997</v>
      </c>
      <c r="P14" s="62">
        <f t="shared" si="0"/>
        <v>704.49479999999994</v>
      </c>
      <c r="Q14" s="62">
        <f t="shared" si="0"/>
        <v>404.60849999999999</v>
      </c>
      <c r="R14" s="62">
        <f t="shared" si="0"/>
        <v>440.04480000000001</v>
      </c>
      <c r="S14" s="62">
        <f t="shared" si="0"/>
        <v>477.5967</v>
      </c>
      <c r="T14" s="32">
        <f t="shared" ref="T14:X14" si="1">T63*1.23</f>
        <v>393.6</v>
      </c>
      <c r="U14" s="71">
        <f t="shared" si="1"/>
        <v>332.1</v>
      </c>
      <c r="V14" s="9">
        <f t="shared" si="1"/>
        <v>492</v>
      </c>
      <c r="W14" s="32">
        <f t="shared" si="1"/>
        <v>553.5</v>
      </c>
      <c r="X14" s="9">
        <f t="shared" si="1"/>
        <v>369</v>
      </c>
      <c r="Y14" s="94">
        <f>Y63*1.23</f>
        <v>123</v>
      </c>
    </row>
    <row r="15" spans="1:25" x14ac:dyDescent="0.2">
      <c r="A15" s="22">
        <v>2</v>
      </c>
      <c r="B15" s="41" t="s">
        <v>46</v>
      </c>
      <c r="C15" s="46">
        <f t="shared" ref="C15:G15" si="2">C64*1.23</f>
        <v>765.06</v>
      </c>
      <c r="D15" s="11">
        <f t="shared" si="2"/>
        <v>925.452</v>
      </c>
      <c r="E15" s="11">
        <f t="shared" si="2"/>
        <v>592.86</v>
      </c>
      <c r="F15" s="11">
        <f t="shared" si="2"/>
        <v>665.18400000000008</v>
      </c>
      <c r="G15" s="11">
        <f t="shared" si="2"/>
        <v>727.66800000000001</v>
      </c>
      <c r="H15" s="33">
        <f>H64*1.23</f>
        <v>492</v>
      </c>
      <c r="I15" s="11">
        <f t="shared" ref="I15:L17" si="3">I64*1.23</f>
        <v>572.68799999999999</v>
      </c>
      <c r="J15" s="11">
        <f t="shared" si="3"/>
        <v>645.50400000000002</v>
      </c>
      <c r="K15" s="11">
        <f t="shared" si="3"/>
        <v>384.25200000000001</v>
      </c>
      <c r="L15" s="11">
        <f t="shared" si="3"/>
        <v>425.08800000000002</v>
      </c>
      <c r="M15" s="11">
        <f t="shared" ref="M15:M17" si="4">M64*1.23</f>
        <v>491.01599999999996</v>
      </c>
      <c r="N15" s="71">
        <f t="shared" si="0"/>
        <v>479.7</v>
      </c>
      <c r="O15" s="62">
        <f t="shared" si="0"/>
        <v>558.37079999999992</v>
      </c>
      <c r="P15" s="62">
        <f t="shared" si="0"/>
        <v>629.3664</v>
      </c>
      <c r="Q15" s="62">
        <f t="shared" si="0"/>
        <v>374.64570000000003</v>
      </c>
      <c r="R15" s="62">
        <f t="shared" si="0"/>
        <v>414.46079999999995</v>
      </c>
      <c r="S15" s="62">
        <f t="shared" si="0"/>
        <v>478.74060000000003</v>
      </c>
      <c r="T15" s="33">
        <f>T64*1.23</f>
        <v>393.6</v>
      </c>
      <c r="U15" s="33">
        <f t="shared" ref="U15" si="5">U64*1.23</f>
        <v>332.1</v>
      </c>
      <c r="V15" s="11"/>
      <c r="W15" s="33">
        <f>W64*1.23</f>
        <v>553.5</v>
      </c>
      <c r="X15" s="11"/>
      <c r="Y15" s="47">
        <f>Y64*1.23</f>
        <v>123</v>
      </c>
    </row>
    <row r="16" spans="1:25" x14ac:dyDescent="0.2">
      <c r="A16" s="22">
        <v>3</v>
      </c>
      <c r="B16" s="41" t="s">
        <v>47</v>
      </c>
      <c r="C16" s="46">
        <f t="shared" ref="C16:G17" si="6">C65*1.23</f>
        <v>1001.9088</v>
      </c>
      <c r="D16" s="11">
        <f t="shared" si="6"/>
        <v>1187.2944</v>
      </c>
      <c r="E16" s="11">
        <f t="shared" si="6"/>
        <v>742.72320000000002</v>
      </c>
      <c r="F16" s="11">
        <f t="shared" si="6"/>
        <v>825.96960000000001</v>
      </c>
      <c r="G16" s="11">
        <f t="shared" si="6"/>
        <v>963.53279999999984</v>
      </c>
      <c r="H16" s="33">
        <f>H65*1.23</f>
        <v>590.4</v>
      </c>
      <c r="I16" s="11">
        <f t="shared" si="3"/>
        <v>687.81600000000003</v>
      </c>
      <c r="J16" s="11">
        <f t="shared" si="3"/>
        <v>789.95519999999999</v>
      </c>
      <c r="K16" s="11">
        <f t="shared" si="3"/>
        <v>424.49759999999998</v>
      </c>
      <c r="L16" s="11">
        <f t="shared" si="3"/>
        <v>464.64479999999998</v>
      </c>
      <c r="M16" s="11">
        <f t="shared" si="4"/>
        <v>517.7808</v>
      </c>
      <c r="N16" s="33">
        <f t="shared" ref="N16:P17" si="7">N65*1.23</f>
        <v>528.9</v>
      </c>
      <c r="O16" s="11">
        <f t="shared" si="7"/>
        <v>616.16849999999999</v>
      </c>
      <c r="P16" s="11">
        <f t="shared" si="7"/>
        <v>707.66820000000007</v>
      </c>
      <c r="Q16" s="11">
        <f t="shared" ref="Q16:S17" si="8">Q65*1.23</f>
        <v>380.27910000000003</v>
      </c>
      <c r="R16" s="11">
        <f t="shared" si="8"/>
        <v>416.24430000000001</v>
      </c>
      <c r="S16" s="11">
        <f t="shared" si="8"/>
        <v>463.84530000000001</v>
      </c>
      <c r="T16" s="33">
        <f>T65*1.23</f>
        <v>553.5</v>
      </c>
      <c r="U16" s="33">
        <f t="shared" ref="U16:U17" si="9">U65*1.23</f>
        <v>227.54999999999998</v>
      </c>
      <c r="V16" s="11"/>
      <c r="W16" s="33">
        <f>W65*1.23</f>
        <v>553.5</v>
      </c>
      <c r="X16" s="11"/>
      <c r="Y16" s="47">
        <f>Y65*1.23</f>
        <v>123</v>
      </c>
    </row>
    <row r="17" spans="1:25" x14ac:dyDescent="0.2">
      <c r="A17" s="22">
        <v>4</v>
      </c>
      <c r="B17" s="41" t="s">
        <v>54</v>
      </c>
      <c r="C17" s="46">
        <f t="shared" si="6"/>
        <v>467.99654999999996</v>
      </c>
      <c r="D17" s="11">
        <f t="shared" si="6"/>
        <v>544.53944999999999</v>
      </c>
      <c r="E17" s="11">
        <f t="shared" si="6"/>
        <v>356.79839999999996</v>
      </c>
      <c r="F17" s="11">
        <f t="shared" si="6"/>
        <v>399.89145000000002</v>
      </c>
      <c r="G17" s="11">
        <f t="shared" si="6"/>
        <v>440.27234999999996</v>
      </c>
      <c r="H17" s="33">
        <f t="shared" ref="H17:H26" si="10">H66*1.23</f>
        <v>301.35000000000002</v>
      </c>
      <c r="I17" s="11">
        <f t="shared" si="3"/>
        <v>348.66195000000005</v>
      </c>
      <c r="J17" s="11">
        <f t="shared" si="3"/>
        <v>391.15229999999997</v>
      </c>
      <c r="K17" s="11">
        <f t="shared" si="3"/>
        <v>229.02599999999998</v>
      </c>
      <c r="L17" s="11">
        <f t="shared" si="3"/>
        <v>251.32589999999999</v>
      </c>
      <c r="M17" s="11">
        <f t="shared" si="4"/>
        <v>285.07709999999997</v>
      </c>
      <c r="N17" s="33">
        <f t="shared" si="7"/>
        <v>528.9</v>
      </c>
      <c r="O17" s="11">
        <f t="shared" si="7"/>
        <v>611.93729999999994</v>
      </c>
      <c r="P17" s="11">
        <f t="shared" si="7"/>
        <v>686.51220000000001</v>
      </c>
      <c r="Q17" s="11">
        <f t="shared" si="8"/>
        <v>401.964</v>
      </c>
      <c r="R17" s="11">
        <f t="shared" si="8"/>
        <v>441.1026</v>
      </c>
      <c r="S17" s="11">
        <f t="shared" si="8"/>
        <v>500.33939999999996</v>
      </c>
      <c r="T17" s="33">
        <f>T66*1.23</f>
        <v>270.60000000000002</v>
      </c>
      <c r="U17" s="33">
        <f t="shared" si="9"/>
        <v>227.54999999999998</v>
      </c>
      <c r="V17" s="11"/>
      <c r="W17" s="33">
        <f>W66*1.23</f>
        <v>553.5</v>
      </c>
      <c r="X17" s="11"/>
      <c r="Y17" s="47">
        <f>Y66*1.23</f>
        <v>123</v>
      </c>
    </row>
    <row r="18" spans="1:25" x14ac:dyDescent="0.2">
      <c r="A18" s="10">
        <v>5</v>
      </c>
      <c r="B18" s="42" t="s">
        <v>17</v>
      </c>
      <c r="C18" s="46">
        <f>2.89*H18</f>
        <v>3661.3410000000003</v>
      </c>
      <c r="D18" s="11">
        <f>3.7*H18</f>
        <v>4687.5300000000007</v>
      </c>
      <c r="E18" s="11">
        <f>1.3*H18</f>
        <v>1646.9700000000003</v>
      </c>
      <c r="F18" s="11">
        <f>2.09*H18</f>
        <v>2647.8209999999999</v>
      </c>
      <c r="G18" s="11">
        <f>3*H18</f>
        <v>3800.7000000000003</v>
      </c>
      <c r="H18" s="33">
        <f t="shared" si="10"/>
        <v>1266.9000000000001</v>
      </c>
      <c r="I18" s="11">
        <f>1.44*H18</f>
        <v>1824.336</v>
      </c>
      <c r="J18" s="11">
        <f>1.94*H18</f>
        <v>2457.7860000000001</v>
      </c>
      <c r="K18" s="11">
        <f>0.55*H18</f>
        <v>696.79500000000007</v>
      </c>
      <c r="L18" s="11">
        <f>0.94*H18</f>
        <v>1190.886</v>
      </c>
      <c r="M18" s="11">
        <f>1.3*H18</f>
        <v>1646.9700000000003</v>
      </c>
      <c r="N18" s="11"/>
      <c r="O18" s="11"/>
      <c r="P18" s="11"/>
      <c r="Q18" s="11"/>
      <c r="R18" s="11"/>
      <c r="S18" s="11"/>
      <c r="T18" s="33">
        <f t="shared" ref="T18:U26" si="11">T67*1.23</f>
        <v>615</v>
      </c>
      <c r="U18" s="33">
        <f t="shared" si="11"/>
        <v>405.9</v>
      </c>
      <c r="V18" s="11"/>
      <c r="W18" s="33">
        <f t="shared" ref="W18:W26" si="12">W67*1.23</f>
        <v>799.5</v>
      </c>
      <c r="X18" s="12"/>
      <c r="Y18" s="47">
        <f t="shared" ref="Y18:Y28" si="13">Y67*1.23</f>
        <v>184.5</v>
      </c>
    </row>
    <row r="19" spans="1:25" ht="12" thickBot="1" x14ac:dyDescent="0.25">
      <c r="A19" s="25">
        <v>6</v>
      </c>
      <c r="B19" s="44" t="s">
        <v>18</v>
      </c>
      <c r="C19" s="68">
        <f>1.816*H19</f>
        <v>1116.8400000000001</v>
      </c>
      <c r="D19" s="69">
        <f>2.167*H19</f>
        <v>1332.7049999999999</v>
      </c>
      <c r="E19" s="69">
        <f>1.224*H19</f>
        <v>752.76</v>
      </c>
      <c r="F19" s="69">
        <f>1.425*H19</f>
        <v>876.375</v>
      </c>
      <c r="G19" s="69">
        <f>1.631*H19</f>
        <v>1003.0650000000001</v>
      </c>
      <c r="H19" s="70">
        <f t="shared" si="10"/>
        <v>615</v>
      </c>
      <c r="I19" s="69">
        <f>1.123*H19</f>
        <v>690.64499999999998</v>
      </c>
      <c r="J19" s="69">
        <f>1.291*H19</f>
        <v>793.96499999999992</v>
      </c>
      <c r="K19" s="69">
        <f>0.861*H19</f>
        <v>529.51499999999999</v>
      </c>
      <c r="L19" s="69">
        <f>0.952*H19</f>
        <v>585.48</v>
      </c>
      <c r="M19" s="69">
        <f>1.032*H19</f>
        <v>634.68000000000006</v>
      </c>
      <c r="N19" s="69"/>
      <c r="O19" s="69"/>
      <c r="P19" s="69"/>
      <c r="Q19" s="69"/>
      <c r="R19" s="69"/>
      <c r="S19" s="69"/>
      <c r="T19" s="70">
        <f t="shared" si="11"/>
        <v>615</v>
      </c>
      <c r="U19" s="70">
        <f t="shared" si="11"/>
        <v>405.9</v>
      </c>
      <c r="V19" s="69"/>
      <c r="W19" s="70">
        <f t="shared" si="12"/>
        <v>553.5</v>
      </c>
      <c r="X19" s="72"/>
      <c r="Y19" s="73">
        <f t="shared" si="13"/>
        <v>184.5</v>
      </c>
    </row>
    <row r="20" spans="1:25" x14ac:dyDescent="0.2">
      <c r="A20" s="8">
        <v>7</v>
      </c>
      <c r="B20" s="40" t="s">
        <v>19</v>
      </c>
      <c r="C20" s="74">
        <f>1.99*H20</f>
        <v>1028.0340000000001</v>
      </c>
      <c r="D20" s="9">
        <f>2.228*H20</f>
        <v>1150.9848000000002</v>
      </c>
      <c r="E20" s="9">
        <f>1.21*H20</f>
        <v>625.08600000000001</v>
      </c>
      <c r="F20" s="9">
        <f>1.429*H20</f>
        <v>738.22140000000002</v>
      </c>
      <c r="G20" s="9">
        <f>1.706*H20</f>
        <v>881.31960000000004</v>
      </c>
      <c r="H20" s="32">
        <f t="shared" si="10"/>
        <v>516.6</v>
      </c>
      <c r="I20" s="9">
        <f>1.149*H20</f>
        <v>593.57339999999999</v>
      </c>
      <c r="J20" s="9">
        <f>1.336*H20</f>
        <v>690.1776000000001</v>
      </c>
      <c r="K20" s="9">
        <f>0.849*H20</f>
        <v>438.59340000000003</v>
      </c>
      <c r="L20" s="9">
        <f>0.957*H20</f>
        <v>494.38619999999997</v>
      </c>
      <c r="M20" s="9">
        <f>1.075*H20</f>
        <v>555.34500000000003</v>
      </c>
      <c r="N20" s="9"/>
      <c r="O20" s="9"/>
      <c r="P20" s="9"/>
      <c r="Q20" s="9"/>
      <c r="R20" s="9"/>
      <c r="S20" s="9"/>
      <c r="T20" s="32">
        <f t="shared" si="11"/>
        <v>369</v>
      </c>
      <c r="U20" s="32">
        <f t="shared" si="11"/>
        <v>307.5</v>
      </c>
      <c r="V20" s="9"/>
      <c r="W20" s="32">
        <f t="shared" si="12"/>
        <v>492</v>
      </c>
      <c r="X20" s="75"/>
      <c r="Y20" s="45">
        <f t="shared" si="13"/>
        <v>159.9</v>
      </c>
    </row>
    <row r="21" spans="1:25" x14ac:dyDescent="0.2">
      <c r="A21" s="10">
        <v>8</v>
      </c>
      <c r="B21" s="42" t="s">
        <v>20</v>
      </c>
      <c r="C21" s="46">
        <f>2.416*H21</f>
        <v>1426.4063999999998</v>
      </c>
      <c r="D21" s="11">
        <f>3.06*H21</f>
        <v>1806.624</v>
      </c>
      <c r="E21" s="11">
        <f>1.25*H21</f>
        <v>738</v>
      </c>
      <c r="F21" s="11">
        <f>1.6*H21</f>
        <v>944.64</v>
      </c>
      <c r="G21" s="11">
        <f>2.1*H21</f>
        <v>1239.8399999999999</v>
      </c>
      <c r="H21" s="33">
        <f t="shared" si="10"/>
        <v>590.4</v>
      </c>
      <c r="I21" s="11">
        <f>1.25*H21</f>
        <v>738</v>
      </c>
      <c r="J21" s="11">
        <f>1.6*H21</f>
        <v>944.64</v>
      </c>
      <c r="K21" s="11">
        <f>0.9*H21</f>
        <v>531.36</v>
      </c>
      <c r="L21" s="11">
        <f>1*H21</f>
        <v>590.4</v>
      </c>
      <c r="M21" s="11">
        <f>1.1*H21</f>
        <v>649.44000000000005</v>
      </c>
      <c r="N21" s="11"/>
      <c r="O21" s="11"/>
      <c r="P21" s="11"/>
      <c r="Q21" s="11"/>
      <c r="R21" s="11"/>
      <c r="S21" s="11"/>
      <c r="T21" s="33">
        <f t="shared" si="11"/>
        <v>615</v>
      </c>
      <c r="U21" s="33">
        <f t="shared" si="11"/>
        <v>455.09999999999997</v>
      </c>
      <c r="V21" s="11"/>
      <c r="W21" s="33">
        <f t="shared" si="12"/>
        <v>492</v>
      </c>
      <c r="X21" s="12"/>
      <c r="Y21" s="47">
        <f t="shared" si="13"/>
        <v>184.5</v>
      </c>
    </row>
    <row r="22" spans="1:25" x14ac:dyDescent="0.2">
      <c r="A22" s="10">
        <v>9</v>
      </c>
      <c r="B22" s="42" t="s">
        <v>21</v>
      </c>
      <c r="C22" s="46">
        <f>1.535*H22</f>
        <v>906.2639999999999</v>
      </c>
      <c r="D22" s="11">
        <f>1.687*H22</f>
        <v>996.00480000000005</v>
      </c>
      <c r="E22" s="11">
        <f>1.195*H22</f>
        <v>705.52800000000002</v>
      </c>
      <c r="F22" s="11">
        <f>1.32*H22</f>
        <v>779.32799999999997</v>
      </c>
      <c r="G22" s="11">
        <f>1.505*H22</f>
        <v>888.55199999999991</v>
      </c>
      <c r="H22" s="33">
        <f t="shared" si="10"/>
        <v>590.4</v>
      </c>
      <c r="I22" s="11">
        <f>1.106*H22</f>
        <v>652.98239999999998</v>
      </c>
      <c r="J22" s="11">
        <f>1.238*H22</f>
        <v>730.91519999999991</v>
      </c>
      <c r="K22" s="11">
        <f>0.845*H22</f>
        <v>498.88799999999998</v>
      </c>
      <c r="L22" s="11">
        <f>0.925*H22</f>
        <v>546.12</v>
      </c>
      <c r="M22" s="11">
        <f>1.021*H22</f>
        <v>602.7983999999999</v>
      </c>
      <c r="N22" s="11"/>
      <c r="O22" s="11"/>
      <c r="P22" s="11"/>
      <c r="Q22" s="11"/>
      <c r="R22" s="11"/>
      <c r="S22" s="11"/>
      <c r="T22" s="33">
        <f t="shared" si="11"/>
        <v>615</v>
      </c>
      <c r="U22" s="33">
        <f t="shared" si="11"/>
        <v>455.09999999999997</v>
      </c>
      <c r="V22" s="11"/>
      <c r="W22" s="33">
        <f t="shared" si="12"/>
        <v>492</v>
      </c>
      <c r="X22" s="12"/>
      <c r="Y22" s="47">
        <f t="shared" si="13"/>
        <v>196.8</v>
      </c>
    </row>
    <row r="23" spans="1:25" ht="12" thickBot="1" x14ac:dyDescent="0.25">
      <c r="A23" s="13">
        <v>10</v>
      </c>
      <c r="B23" s="43" t="s">
        <v>22</v>
      </c>
      <c r="C23" s="48">
        <f>2.241*H23</f>
        <v>1075.0077000000001</v>
      </c>
      <c r="D23" s="14">
        <f>2.943*H23</f>
        <v>1411.7571</v>
      </c>
      <c r="E23" s="14">
        <f>1.464*H23</f>
        <v>702.2808</v>
      </c>
      <c r="F23" s="14">
        <f>1.747*H23</f>
        <v>838.03590000000008</v>
      </c>
      <c r="G23" s="14">
        <f>2.103*H23</f>
        <v>1008.8091000000001</v>
      </c>
      <c r="H23" s="34">
        <f t="shared" si="10"/>
        <v>479.7</v>
      </c>
      <c r="I23" s="14">
        <f>1.266*H23</f>
        <v>607.30020000000002</v>
      </c>
      <c r="J23" s="14">
        <f>1.507*H23</f>
        <v>722.90789999999993</v>
      </c>
      <c r="K23" s="14">
        <f>0.681*H23</f>
        <v>326.67570000000001</v>
      </c>
      <c r="L23" s="14">
        <f>0.855*H23</f>
        <v>410.14349999999996</v>
      </c>
      <c r="M23" s="14">
        <f>1.034*H23</f>
        <v>496.00979999999998</v>
      </c>
      <c r="N23" s="14"/>
      <c r="O23" s="14"/>
      <c r="P23" s="14"/>
      <c r="Q23" s="14"/>
      <c r="R23" s="14"/>
      <c r="S23" s="14"/>
      <c r="T23" s="34">
        <f t="shared" si="11"/>
        <v>442.8</v>
      </c>
      <c r="U23" s="34">
        <f t="shared" si="11"/>
        <v>369</v>
      </c>
      <c r="V23" s="14"/>
      <c r="W23" s="34">
        <f t="shared" si="12"/>
        <v>492</v>
      </c>
      <c r="X23" s="15"/>
      <c r="Y23" s="49">
        <f t="shared" si="13"/>
        <v>184.5</v>
      </c>
    </row>
    <row r="24" spans="1:25" x14ac:dyDescent="0.2">
      <c r="A24" s="8">
        <v>11</v>
      </c>
      <c r="B24" s="40" t="s">
        <v>23</v>
      </c>
      <c r="C24" s="74">
        <f>2.758*H24</f>
        <v>1356.9359999999999</v>
      </c>
      <c r="D24" s="9">
        <f>3.492*H24</f>
        <v>1718.0640000000001</v>
      </c>
      <c r="E24" s="9">
        <f>1.381*H24</f>
        <v>679.452</v>
      </c>
      <c r="F24" s="9">
        <f>1.947*H24</f>
        <v>957.92399999999998</v>
      </c>
      <c r="G24" s="9">
        <f>2.44*H24</f>
        <v>1200.48</v>
      </c>
      <c r="H24" s="32">
        <f t="shared" si="10"/>
        <v>492</v>
      </c>
      <c r="I24" s="9">
        <f>1.373*H24</f>
        <v>675.51599999999996</v>
      </c>
      <c r="J24" s="9">
        <f>1.839*H24</f>
        <v>904.78800000000001</v>
      </c>
      <c r="K24" s="9">
        <f>0.728*H24</f>
        <v>358.17599999999999</v>
      </c>
      <c r="L24" s="9">
        <f>0.996*H24</f>
        <v>490.03199999999998</v>
      </c>
      <c r="M24" s="9">
        <f>1.238*H24</f>
        <v>609.096</v>
      </c>
      <c r="N24" s="9"/>
      <c r="O24" s="9"/>
      <c r="P24" s="9"/>
      <c r="Q24" s="9"/>
      <c r="R24" s="9"/>
      <c r="S24" s="9"/>
      <c r="T24" s="32">
        <f t="shared" si="11"/>
        <v>442.8</v>
      </c>
      <c r="U24" s="32">
        <f t="shared" si="11"/>
        <v>369</v>
      </c>
      <c r="V24" s="9"/>
      <c r="W24" s="32">
        <f t="shared" si="12"/>
        <v>492</v>
      </c>
      <c r="X24" s="75"/>
      <c r="Y24" s="45">
        <f t="shared" si="13"/>
        <v>135.30000000000001</v>
      </c>
    </row>
    <row r="25" spans="1:25" x14ac:dyDescent="0.2">
      <c r="A25" s="10">
        <v>12</v>
      </c>
      <c r="B25" s="42" t="s">
        <v>24</v>
      </c>
      <c r="C25" s="46">
        <f>2.75*H25</f>
        <v>1082.4000000000001</v>
      </c>
      <c r="D25" s="11">
        <f>3.35*H25</f>
        <v>1318.5600000000002</v>
      </c>
      <c r="E25" s="11">
        <f>1.33*H25</f>
        <v>523.48800000000006</v>
      </c>
      <c r="F25" s="11">
        <f>2.172*H25</f>
        <v>854.89920000000006</v>
      </c>
      <c r="G25" s="11">
        <f>2.603*H25</f>
        <v>1024.5408000000002</v>
      </c>
      <c r="H25" s="33">
        <f t="shared" si="10"/>
        <v>393.6</v>
      </c>
      <c r="I25" s="11">
        <f>1.312*H25</f>
        <v>516.40320000000008</v>
      </c>
      <c r="J25" s="11">
        <f>1.584*H25</f>
        <v>623.46240000000012</v>
      </c>
      <c r="K25" s="11">
        <f>0.804*H25</f>
        <v>316.45440000000002</v>
      </c>
      <c r="L25" s="11">
        <f>0.984*H25</f>
        <v>387.30240000000003</v>
      </c>
      <c r="M25" s="11">
        <f>1.153*H25</f>
        <v>453.82080000000002</v>
      </c>
      <c r="N25" s="11"/>
      <c r="O25" s="11"/>
      <c r="P25" s="11"/>
      <c r="Q25" s="11"/>
      <c r="R25" s="11"/>
      <c r="S25" s="11"/>
      <c r="T25" s="33">
        <f t="shared" si="11"/>
        <v>369</v>
      </c>
      <c r="U25" s="33">
        <f t="shared" si="11"/>
        <v>282.89999999999998</v>
      </c>
      <c r="V25" s="11"/>
      <c r="W25" s="33">
        <f t="shared" si="12"/>
        <v>492</v>
      </c>
      <c r="X25" s="12"/>
      <c r="Y25" s="47">
        <f t="shared" si="13"/>
        <v>153.75</v>
      </c>
    </row>
    <row r="26" spans="1:25" x14ac:dyDescent="0.2">
      <c r="A26" s="10">
        <v>13</v>
      </c>
      <c r="B26" s="42" t="s">
        <v>25</v>
      </c>
      <c r="C26" s="46">
        <f>1.742*H26</f>
        <v>696.36450000000002</v>
      </c>
      <c r="D26" s="11">
        <f>1.955*H26</f>
        <v>781.51125000000002</v>
      </c>
      <c r="E26" s="11">
        <f>1.401*H26</f>
        <v>560.04975000000002</v>
      </c>
      <c r="F26" s="11">
        <f>1.47*H26</f>
        <v>587.63249999999994</v>
      </c>
      <c r="G26" s="11">
        <f>1.705*H26</f>
        <v>681.57375000000002</v>
      </c>
      <c r="H26" s="33">
        <f t="shared" si="10"/>
        <v>399.75</v>
      </c>
      <c r="I26" s="11">
        <f>1.136*H26</f>
        <v>454.11599999999999</v>
      </c>
      <c r="J26" s="11">
        <f>1.286*H26</f>
        <v>514.07849999999996</v>
      </c>
      <c r="K26" s="11">
        <f>0.814*H26</f>
        <v>325.3965</v>
      </c>
      <c r="L26" s="11">
        <f>0.863*H26</f>
        <v>344.98424999999997</v>
      </c>
      <c r="M26" s="11">
        <f>0.971*H26</f>
        <v>388.15724999999998</v>
      </c>
      <c r="N26" s="11"/>
      <c r="O26" s="11"/>
      <c r="P26" s="11"/>
      <c r="Q26" s="11"/>
      <c r="R26" s="11"/>
      <c r="S26" s="11"/>
      <c r="T26" s="33">
        <f t="shared" si="11"/>
        <v>221.4</v>
      </c>
      <c r="U26" s="33">
        <f t="shared" si="11"/>
        <v>184.5</v>
      </c>
      <c r="V26" s="11"/>
      <c r="W26" s="33">
        <f t="shared" si="12"/>
        <v>307.5</v>
      </c>
      <c r="X26" s="12"/>
      <c r="Y26" s="47">
        <f t="shared" si="13"/>
        <v>178.35</v>
      </c>
    </row>
    <row r="27" spans="1:25" x14ac:dyDescent="0.2">
      <c r="A27" s="25">
        <v>14</v>
      </c>
      <c r="B27" s="44" t="s">
        <v>49</v>
      </c>
      <c r="C27" s="46">
        <f t="shared" ref="C27:G27" si="14">C76*1.23</f>
        <v>514.755</v>
      </c>
      <c r="D27" s="11">
        <f t="shared" si="14"/>
        <v>581.50709999999992</v>
      </c>
      <c r="E27" s="11">
        <f t="shared" si="14"/>
        <v>373.28040000000004</v>
      </c>
      <c r="F27" s="11">
        <f t="shared" si="14"/>
        <v>422.43119999999999</v>
      </c>
      <c r="G27" s="11">
        <f t="shared" si="14"/>
        <v>474.23879999999997</v>
      </c>
      <c r="H27" s="33">
        <f t="shared" ref="H27:M27" si="15">H76*1.23</f>
        <v>332.1</v>
      </c>
      <c r="I27" s="11">
        <f t="shared" si="15"/>
        <v>371.2878</v>
      </c>
      <c r="J27" s="11">
        <f t="shared" si="15"/>
        <v>410.80770000000001</v>
      </c>
      <c r="K27" s="11">
        <f t="shared" si="15"/>
        <v>281.28870000000001</v>
      </c>
      <c r="L27" s="11">
        <f t="shared" si="15"/>
        <v>317.48759999999999</v>
      </c>
      <c r="M27" s="11">
        <f t="shared" si="15"/>
        <v>355.01490000000001</v>
      </c>
      <c r="N27" s="11"/>
      <c r="O27" s="11"/>
      <c r="P27" s="11"/>
      <c r="Q27" s="11"/>
      <c r="R27" s="11"/>
      <c r="S27" s="11"/>
      <c r="T27" s="33">
        <f>T76*1.23</f>
        <v>159.9</v>
      </c>
      <c r="U27" s="33">
        <f t="shared" ref="U27" si="16">U76*1.23</f>
        <v>147.6</v>
      </c>
      <c r="V27" s="11"/>
      <c r="W27" s="33">
        <f>W76*1.23</f>
        <v>282.89999999999998</v>
      </c>
      <c r="X27" s="12"/>
      <c r="Y27" s="47">
        <f>Y76*1.23</f>
        <v>123</v>
      </c>
    </row>
    <row r="28" spans="1:25" ht="12" thickBot="1" x14ac:dyDescent="0.25">
      <c r="A28" s="13">
        <v>15</v>
      </c>
      <c r="B28" s="43" t="s">
        <v>26</v>
      </c>
      <c r="C28" s="48" t="s">
        <v>38</v>
      </c>
      <c r="D28" s="14" t="s">
        <v>38</v>
      </c>
      <c r="E28" s="14" t="s">
        <v>38</v>
      </c>
      <c r="F28" s="14" t="s">
        <v>38</v>
      </c>
      <c r="G28" s="14" t="s">
        <v>38</v>
      </c>
      <c r="H28" s="34" t="s">
        <v>38</v>
      </c>
      <c r="I28" s="14" t="s">
        <v>38</v>
      </c>
      <c r="J28" s="14" t="s">
        <v>39</v>
      </c>
      <c r="K28" s="14" t="s">
        <v>38</v>
      </c>
      <c r="L28" s="14" t="s">
        <v>38</v>
      </c>
      <c r="M28" s="14" t="s">
        <v>38</v>
      </c>
      <c r="N28" s="14"/>
      <c r="O28" s="14"/>
      <c r="P28" s="14"/>
      <c r="Q28" s="14"/>
      <c r="R28" s="14"/>
      <c r="S28" s="14"/>
      <c r="T28" s="34">
        <f>T77*1.23</f>
        <v>159.9</v>
      </c>
      <c r="U28" s="83">
        <f t="shared" ref="U28" si="17">U77*1.23</f>
        <v>147.6</v>
      </c>
      <c r="V28" s="14"/>
      <c r="W28" s="34">
        <f>W77*1.23</f>
        <v>282.89999999999998</v>
      </c>
      <c r="X28" s="15"/>
      <c r="Y28" s="95">
        <f t="shared" si="13"/>
        <v>123</v>
      </c>
    </row>
    <row r="29" spans="1:25" x14ac:dyDescent="0.2"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</row>
    <row r="30" spans="1:25" ht="12" thickBot="1" x14ac:dyDescent="0.25">
      <c r="B30" s="2" t="s">
        <v>50</v>
      </c>
      <c r="F30" s="21" t="s">
        <v>35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53"/>
    </row>
    <row r="31" spans="1:25" ht="15" customHeight="1" x14ac:dyDescent="0.2">
      <c r="B31" s="114"/>
      <c r="C31" s="126" t="s">
        <v>37</v>
      </c>
      <c r="D31" s="126" t="s">
        <v>27</v>
      </c>
      <c r="E31" s="126" t="s">
        <v>28</v>
      </c>
      <c r="F31" s="112" t="s">
        <v>29</v>
      </c>
      <c r="H31" s="18"/>
      <c r="I31" s="18"/>
      <c r="K31" s="59"/>
      <c r="L31" s="59"/>
      <c r="M31" s="59"/>
      <c r="N31" s="119"/>
      <c r="O31" s="116"/>
      <c r="P31" s="116"/>
      <c r="Q31" s="18"/>
      <c r="R31" s="117"/>
      <c r="S31" s="117"/>
      <c r="T31" s="77"/>
      <c r="Y31" s="1"/>
    </row>
    <row r="32" spans="1:25" x14ac:dyDescent="0.2">
      <c r="B32" s="115"/>
      <c r="C32" s="127"/>
      <c r="D32" s="127"/>
      <c r="E32" s="127"/>
      <c r="F32" s="113"/>
      <c r="H32" s="18"/>
      <c r="I32" s="18"/>
      <c r="K32" s="59"/>
      <c r="L32" s="59"/>
      <c r="M32" s="59"/>
      <c r="N32" s="119"/>
      <c r="O32" s="116"/>
      <c r="P32" s="116"/>
      <c r="Q32" s="18"/>
      <c r="R32" s="117"/>
      <c r="S32" s="117"/>
      <c r="T32" s="77"/>
      <c r="Y32" s="1"/>
    </row>
    <row r="33" spans="2:25" x14ac:dyDescent="0.2">
      <c r="B33" s="10" t="s">
        <v>14</v>
      </c>
      <c r="C33" s="4" t="s">
        <v>15</v>
      </c>
      <c r="D33" s="4" t="s">
        <v>30</v>
      </c>
      <c r="E33" s="76" t="s">
        <v>15</v>
      </c>
      <c r="F33" s="5" t="s">
        <v>30</v>
      </c>
      <c r="H33" s="18"/>
      <c r="I33" s="18"/>
      <c r="K33" s="18"/>
      <c r="L33" s="18"/>
      <c r="M33" s="18"/>
      <c r="N33" s="18"/>
      <c r="O33" s="61"/>
      <c r="P33" s="18"/>
      <c r="Q33" s="18"/>
      <c r="R33" s="120"/>
      <c r="S33" s="120"/>
      <c r="T33" s="61"/>
      <c r="Y33" s="1"/>
    </row>
    <row r="34" spans="2:25" x14ac:dyDescent="0.2">
      <c r="B34" s="10" t="s">
        <v>16</v>
      </c>
      <c r="C34" s="91">
        <f>C83*1.23</f>
        <v>36.9</v>
      </c>
      <c r="D34" s="84">
        <f>D83*1.23</f>
        <v>15.99</v>
      </c>
      <c r="E34" s="84">
        <f>E83*1.23</f>
        <v>12.3</v>
      </c>
      <c r="F34" s="85">
        <f>F83*1.23</f>
        <v>184.5</v>
      </c>
      <c r="H34" s="30"/>
      <c r="I34" s="18"/>
      <c r="K34" s="18"/>
      <c r="L34" s="18"/>
      <c r="M34" s="60"/>
      <c r="N34" s="60"/>
      <c r="O34" s="30"/>
      <c r="P34" s="63"/>
      <c r="Q34" s="18"/>
      <c r="R34" s="120"/>
      <c r="S34" s="120"/>
      <c r="T34" s="64"/>
      <c r="Y34" s="1"/>
    </row>
    <row r="35" spans="2:25" x14ac:dyDescent="0.2">
      <c r="B35" s="10" t="s">
        <v>40</v>
      </c>
      <c r="C35" s="91">
        <f t="shared" ref="C35:C37" si="18">C84*1.23</f>
        <v>49.2</v>
      </c>
      <c r="D35" s="86"/>
      <c r="E35" s="84"/>
      <c r="F35" s="87"/>
      <c r="O35" s="18"/>
      <c r="P35" s="18"/>
      <c r="Q35" s="18"/>
      <c r="R35" s="18"/>
      <c r="S35" s="30"/>
      <c r="T35" s="63"/>
      <c r="U35" s="18"/>
      <c r="V35" s="116"/>
      <c r="W35" s="116"/>
      <c r="X35" s="18"/>
      <c r="Y35" s="1"/>
    </row>
    <row r="36" spans="2:25" ht="15.75" customHeight="1" x14ac:dyDescent="0.2">
      <c r="B36" s="10" t="s">
        <v>31</v>
      </c>
      <c r="C36" s="91">
        <f t="shared" si="18"/>
        <v>49.2</v>
      </c>
      <c r="D36" s="84">
        <f>D85*1.23</f>
        <v>15.99</v>
      </c>
      <c r="E36" s="84">
        <f>E85*1.23</f>
        <v>12.3</v>
      </c>
      <c r="F36" s="85">
        <f>F85*1.23</f>
        <v>184.5</v>
      </c>
      <c r="O36" s="18"/>
      <c r="P36" s="18"/>
      <c r="Q36" s="18"/>
      <c r="R36" s="18"/>
      <c r="S36" s="30"/>
      <c r="T36" s="63"/>
      <c r="U36" s="18"/>
      <c r="V36" s="116"/>
      <c r="W36" s="116"/>
      <c r="X36" s="18"/>
      <c r="Y36" s="1"/>
    </row>
    <row r="37" spans="2:25" ht="12" thickBot="1" x14ac:dyDescent="0.25">
      <c r="B37" s="13" t="s">
        <v>32</v>
      </c>
      <c r="C37" s="92">
        <f t="shared" si="18"/>
        <v>36.9</v>
      </c>
      <c r="D37" s="88"/>
      <c r="E37" s="89"/>
      <c r="F37" s="90"/>
      <c r="X37" s="24"/>
      <c r="Y37" s="1"/>
    </row>
    <row r="38" spans="2:25" x14ac:dyDescent="0.2">
      <c r="B38" s="18"/>
      <c r="C38" s="18"/>
      <c r="D38" s="17"/>
      <c r="E38" s="17"/>
      <c r="F38" s="18"/>
      <c r="G38" s="18"/>
      <c r="H38" s="16"/>
      <c r="I38" s="16"/>
      <c r="J38" s="16"/>
      <c r="K38" s="16"/>
      <c r="L38" s="16"/>
      <c r="M38" s="16"/>
    </row>
    <row r="39" spans="2:25" x14ac:dyDescent="0.2">
      <c r="B39" s="18" t="s">
        <v>56</v>
      </c>
      <c r="C39" s="18"/>
      <c r="D39" s="17"/>
      <c r="E39" s="17"/>
      <c r="F39" s="18"/>
      <c r="G39" s="18"/>
      <c r="H39" s="16"/>
      <c r="I39" s="16"/>
      <c r="J39" s="16"/>
      <c r="K39" s="16"/>
      <c r="L39" s="16"/>
      <c r="M39" s="16"/>
    </row>
    <row r="40" spans="2:25" x14ac:dyDescent="0.2">
      <c r="B40" s="121" t="s">
        <v>42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</row>
    <row r="41" spans="2:25" x14ac:dyDescent="0.2">
      <c r="B41" s="19"/>
      <c r="C41" s="19"/>
      <c r="D41" s="19"/>
      <c r="E41" s="19"/>
      <c r="F41" s="19"/>
      <c r="G41" s="19"/>
      <c r="H41" s="19"/>
      <c r="I41" s="19"/>
      <c r="J41" s="19"/>
      <c r="K41" s="36"/>
      <c r="L41" s="36"/>
      <c r="M41" s="36"/>
      <c r="N41" s="19"/>
      <c r="O41" s="19"/>
      <c r="P41" s="19"/>
      <c r="Q41" s="58"/>
      <c r="R41" s="58"/>
      <c r="S41" s="58"/>
      <c r="T41" s="19"/>
      <c r="U41" s="35"/>
      <c r="V41" s="19"/>
      <c r="W41" s="19"/>
      <c r="X41" s="19"/>
      <c r="Y41" s="54"/>
    </row>
    <row r="42" spans="2:25" x14ac:dyDescent="0.2">
      <c r="B42" s="19"/>
      <c r="C42" s="19"/>
      <c r="D42" s="19"/>
      <c r="E42" s="19"/>
      <c r="F42" s="19"/>
      <c r="G42" s="19"/>
      <c r="H42" s="19"/>
      <c r="I42" s="19"/>
      <c r="J42" s="19"/>
      <c r="K42" s="36"/>
      <c r="L42" s="36"/>
      <c r="M42" s="36"/>
      <c r="N42" s="19"/>
      <c r="O42" s="19"/>
      <c r="P42" s="19"/>
      <c r="Q42" s="58"/>
      <c r="R42" s="58"/>
      <c r="S42" s="58"/>
      <c r="T42" s="19"/>
      <c r="U42" s="35"/>
      <c r="V42" s="19"/>
      <c r="W42" s="19"/>
      <c r="X42" s="19"/>
      <c r="Y42" s="54"/>
    </row>
    <row r="43" spans="2:25" x14ac:dyDescent="0.2">
      <c r="X43" s="1" t="s">
        <v>36</v>
      </c>
    </row>
    <row r="58" spans="1:25" x14ac:dyDescent="0.2">
      <c r="B58" s="111" t="s">
        <v>0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</row>
    <row r="59" spans="1:25" ht="12" thickBot="1" x14ac:dyDescent="0.25">
      <c r="B59" s="2" t="s">
        <v>1</v>
      </c>
      <c r="G59" s="122" t="s">
        <v>2</v>
      </c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</row>
    <row r="60" spans="1:25" ht="15" customHeight="1" x14ac:dyDescent="0.2">
      <c r="A60" s="123" t="s">
        <v>3</v>
      </c>
      <c r="B60" s="3"/>
      <c r="C60" s="118" t="s">
        <v>4</v>
      </c>
      <c r="D60" s="118"/>
      <c r="E60" s="118" t="s">
        <v>5</v>
      </c>
      <c r="F60" s="118"/>
      <c r="G60" s="118"/>
      <c r="H60" s="107" t="s">
        <v>6</v>
      </c>
      <c r="I60" s="108"/>
      <c r="J60" s="109"/>
      <c r="K60" s="107" t="s">
        <v>7</v>
      </c>
      <c r="L60" s="108"/>
      <c r="M60" s="109"/>
      <c r="N60" s="107" t="s">
        <v>51</v>
      </c>
      <c r="O60" s="108"/>
      <c r="P60" s="109"/>
      <c r="Q60" s="107" t="s">
        <v>52</v>
      </c>
      <c r="R60" s="108"/>
      <c r="S60" s="109"/>
      <c r="T60" s="80" t="s">
        <v>8</v>
      </c>
      <c r="U60" s="80" t="s">
        <v>44</v>
      </c>
      <c r="V60" s="118" t="s">
        <v>9</v>
      </c>
      <c r="W60" s="118"/>
      <c r="X60" s="3" t="s">
        <v>10</v>
      </c>
      <c r="Y60" s="81" t="s">
        <v>11</v>
      </c>
    </row>
    <row r="61" spans="1:25" x14ac:dyDescent="0.2">
      <c r="A61" s="124"/>
      <c r="B61" s="4"/>
      <c r="C61" s="4">
        <v>2</v>
      </c>
      <c r="D61" s="4">
        <v>3</v>
      </c>
      <c r="E61" s="4">
        <v>1</v>
      </c>
      <c r="F61" s="4">
        <v>2</v>
      </c>
      <c r="G61" s="4">
        <v>3</v>
      </c>
      <c r="H61" s="31">
        <v>1</v>
      </c>
      <c r="I61" s="4">
        <v>2</v>
      </c>
      <c r="J61" s="4">
        <v>3</v>
      </c>
      <c r="K61" s="4">
        <v>1</v>
      </c>
      <c r="L61" s="4">
        <v>2</v>
      </c>
      <c r="M61" s="4">
        <v>3</v>
      </c>
      <c r="N61" s="4">
        <v>1</v>
      </c>
      <c r="O61" s="4">
        <v>2</v>
      </c>
      <c r="P61" s="4">
        <v>3</v>
      </c>
      <c r="Q61" s="4">
        <v>1</v>
      </c>
      <c r="R61" s="4">
        <v>2</v>
      </c>
      <c r="S61" s="4">
        <v>3</v>
      </c>
      <c r="T61" s="78"/>
      <c r="U61" s="78"/>
      <c r="V61" s="4" t="s">
        <v>12</v>
      </c>
      <c r="W61" s="4" t="s">
        <v>13</v>
      </c>
      <c r="X61" s="4"/>
      <c r="Y61" s="79"/>
    </row>
    <row r="62" spans="1:25" ht="12" thickBot="1" x14ac:dyDescent="0.25">
      <c r="A62" s="124"/>
      <c r="B62" s="6" t="s">
        <v>14</v>
      </c>
      <c r="C62" s="6" t="s">
        <v>15</v>
      </c>
      <c r="D62" s="6" t="s">
        <v>15</v>
      </c>
      <c r="E62" s="6" t="s">
        <v>15</v>
      </c>
      <c r="F62" s="6" t="s">
        <v>15</v>
      </c>
      <c r="G62" s="6" t="s">
        <v>15</v>
      </c>
      <c r="H62" s="38" t="s">
        <v>15</v>
      </c>
      <c r="I62" s="6" t="s">
        <v>15</v>
      </c>
      <c r="J62" s="6" t="s">
        <v>15</v>
      </c>
      <c r="K62" s="6" t="s">
        <v>15</v>
      </c>
      <c r="L62" s="6" t="s">
        <v>15</v>
      </c>
      <c r="M62" s="6" t="s">
        <v>15</v>
      </c>
      <c r="N62" s="6" t="s">
        <v>15</v>
      </c>
      <c r="O62" s="6" t="s">
        <v>15</v>
      </c>
      <c r="P62" s="6" t="s">
        <v>15</v>
      </c>
      <c r="Q62" s="6" t="s">
        <v>15</v>
      </c>
      <c r="R62" s="6" t="s">
        <v>15</v>
      </c>
      <c r="S62" s="6" t="s">
        <v>15</v>
      </c>
      <c r="T62" s="39" t="s">
        <v>15</v>
      </c>
      <c r="U62" s="39"/>
      <c r="V62" s="6" t="s">
        <v>15</v>
      </c>
      <c r="W62" s="6" t="s">
        <v>15</v>
      </c>
      <c r="X62" s="6" t="s">
        <v>15</v>
      </c>
      <c r="Y62" s="93" t="s">
        <v>15</v>
      </c>
    </row>
    <row r="63" spans="1:25" x14ac:dyDescent="0.2">
      <c r="A63" s="8">
        <v>1</v>
      </c>
      <c r="B63" s="40" t="s">
        <v>45</v>
      </c>
      <c r="C63" s="50">
        <f>1.634*H63</f>
        <v>735.3</v>
      </c>
      <c r="D63" s="9">
        <f>2.001*H63</f>
        <v>900.44999999999993</v>
      </c>
      <c r="E63" s="9">
        <f>1.1*H63</f>
        <v>495.00000000000006</v>
      </c>
      <c r="F63" s="9">
        <f>1.354*H63</f>
        <v>609.30000000000007</v>
      </c>
      <c r="G63" s="9">
        <f>1.546*H63</f>
        <v>695.7</v>
      </c>
      <c r="H63" s="32">
        <v>450</v>
      </c>
      <c r="I63" s="9">
        <f>1.169*H63</f>
        <v>526.05000000000007</v>
      </c>
      <c r="J63" s="9">
        <f>1.332*H63</f>
        <v>599.4</v>
      </c>
      <c r="K63" s="9">
        <f>0.765*H63</f>
        <v>344.25</v>
      </c>
      <c r="L63" s="9">
        <f>0.832*H63</f>
        <v>374.4</v>
      </c>
      <c r="M63" s="9">
        <f>0.903*H63</f>
        <v>406.35</v>
      </c>
      <c r="N63" s="32">
        <v>430</v>
      </c>
      <c r="O63" s="9">
        <f>N63*1.169</f>
        <v>502.67</v>
      </c>
      <c r="P63" s="9">
        <f>N63*1.332</f>
        <v>572.76</v>
      </c>
      <c r="Q63" s="9">
        <f>N63*0.765</f>
        <v>328.95</v>
      </c>
      <c r="R63" s="9">
        <f>N63*0.832</f>
        <v>357.76</v>
      </c>
      <c r="S63" s="9">
        <f>N63*0.903</f>
        <v>388.29</v>
      </c>
      <c r="T63" s="32">
        <v>320</v>
      </c>
      <c r="U63" s="32">
        <v>270</v>
      </c>
      <c r="V63" s="32">
        <v>400</v>
      </c>
      <c r="W63" s="32">
        <v>450</v>
      </c>
      <c r="X63" s="32">
        <v>300</v>
      </c>
      <c r="Y63" s="97">
        <v>100</v>
      </c>
    </row>
    <row r="64" spans="1:25" x14ac:dyDescent="0.2">
      <c r="A64" s="22">
        <v>2</v>
      </c>
      <c r="B64" s="41" t="s">
        <v>48</v>
      </c>
      <c r="C64" s="51">
        <f>1.555*H64</f>
        <v>622</v>
      </c>
      <c r="D64" s="11">
        <f>1.881*H64</f>
        <v>752.4</v>
      </c>
      <c r="E64" s="11">
        <f>1.205*H64</f>
        <v>482</v>
      </c>
      <c r="F64" s="11">
        <f>1.352*H64</f>
        <v>540.80000000000007</v>
      </c>
      <c r="G64" s="11">
        <f>1.479*H64</f>
        <v>591.6</v>
      </c>
      <c r="H64" s="33">
        <v>400</v>
      </c>
      <c r="I64" s="11">
        <f>1.164*H64</f>
        <v>465.59999999999997</v>
      </c>
      <c r="J64" s="11">
        <f>1.312*H64</f>
        <v>524.80000000000007</v>
      </c>
      <c r="K64" s="11">
        <f>0.781*H64</f>
        <v>312.40000000000003</v>
      </c>
      <c r="L64" s="11">
        <f>0.864*H64</f>
        <v>345.6</v>
      </c>
      <c r="M64" s="11">
        <f>0.998*H64</f>
        <v>399.2</v>
      </c>
      <c r="N64" s="33">
        <v>390</v>
      </c>
      <c r="O64" s="11">
        <f>1.164*N64</f>
        <v>453.96</v>
      </c>
      <c r="P64" s="11">
        <f>1.312*N64</f>
        <v>511.68</v>
      </c>
      <c r="Q64" s="11">
        <f>0.781*N64</f>
        <v>304.59000000000003</v>
      </c>
      <c r="R64" s="11">
        <f>0.864*N64</f>
        <v>336.96</v>
      </c>
      <c r="S64" s="11">
        <f>0.998*N64</f>
        <v>389.22</v>
      </c>
      <c r="T64" s="33">
        <v>320</v>
      </c>
      <c r="U64" s="33">
        <v>270</v>
      </c>
      <c r="V64" s="11"/>
      <c r="W64" s="33">
        <v>450</v>
      </c>
      <c r="X64" s="11"/>
      <c r="Y64" s="98">
        <v>100</v>
      </c>
    </row>
    <row r="65" spans="1:25" x14ac:dyDescent="0.2">
      <c r="A65" s="22">
        <v>3</v>
      </c>
      <c r="B65" s="41" t="s">
        <v>47</v>
      </c>
      <c r="C65" s="51">
        <f>1.697*H65</f>
        <v>814.56000000000006</v>
      </c>
      <c r="D65" s="11">
        <f>2.011*H65</f>
        <v>965.28000000000009</v>
      </c>
      <c r="E65" s="11">
        <f>1.258*H65</f>
        <v>603.84</v>
      </c>
      <c r="F65" s="11">
        <f>1.399*H65</f>
        <v>671.52</v>
      </c>
      <c r="G65" s="11">
        <f>1.632*H65</f>
        <v>783.3599999999999</v>
      </c>
      <c r="H65" s="33">
        <v>480</v>
      </c>
      <c r="I65" s="11">
        <f>1.165*H65</f>
        <v>559.20000000000005</v>
      </c>
      <c r="J65" s="11">
        <f>1.338*H65</f>
        <v>642.24</v>
      </c>
      <c r="K65" s="11">
        <f>0.719*H65</f>
        <v>345.12</v>
      </c>
      <c r="L65" s="11">
        <f>0.787*H65</f>
        <v>377.76</v>
      </c>
      <c r="M65" s="11">
        <f>0.877*H65</f>
        <v>420.96</v>
      </c>
      <c r="N65" s="33">
        <v>430</v>
      </c>
      <c r="O65" s="11">
        <f>N65*1.165</f>
        <v>500.95</v>
      </c>
      <c r="P65" s="11">
        <f>N65*1.338</f>
        <v>575.34</v>
      </c>
      <c r="Q65" s="11">
        <f>N65*0.719</f>
        <v>309.17</v>
      </c>
      <c r="R65" s="11">
        <f>N65*0.787</f>
        <v>338.41</v>
      </c>
      <c r="S65" s="11">
        <f>N65*0.877</f>
        <v>377.11</v>
      </c>
      <c r="T65" s="33">
        <v>450</v>
      </c>
      <c r="U65" s="33">
        <v>185</v>
      </c>
      <c r="V65" s="11"/>
      <c r="W65" s="33">
        <v>450</v>
      </c>
      <c r="X65" s="11"/>
      <c r="Y65" s="98">
        <v>100</v>
      </c>
    </row>
    <row r="66" spans="1:25" x14ac:dyDescent="0.2">
      <c r="A66" s="22">
        <v>4</v>
      </c>
      <c r="B66" s="41" t="s">
        <v>54</v>
      </c>
      <c r="C66" s="51">
        <f>H66*1.553</f>
        <v>380.48499999999996</v>
      </c>
      <c r="D66" s="11">
        <f>H66*1.807</f>
        <v>442.71499999999997</v>
      </c>
      <c r="E66" s="11">
        <f>H66*1.184</f>
        <v>290.08</v>
      </c>
      <c r="F66" s="11">
        <f>H66*1.327</f>
        <v>325.11500000000001</v>
      </c>
      <c r="G66" s="11">
        <f>H66*1.461</f>
        <v>357.94499999999999</v>
      </c>
      <c r="H66" s="33">
        <v>245</v>
      </c>
      <c r="I66" s="11">
        <f>H66*1.157</f>
        <v>283.46500000000003</v>
      </c>
      <c r="J66" s="11">
        <f>H66*1.298</f>
        <v>318.01</v>
      </c>
      <c r="K66" s="11">
        <f>H66*0.76</f>
        <v>186.2</v>
      </c>
      <c r="L66" s="11">
        <f>H66*0.834</f>
        <v>204.32999999999998</v>
      </c>
      <c r="M66" s="11">
        <f>H66*0.946</f>
        <v>231.76999999999998</v>
      </c>
      <c r="N66" s="33">
        <v>430</v>
      </c>
      <c r="O66" s="11">
        <f>N66*1.157</f>
        <v>497.51</v>
      </c>
      <c r="P66" s="11">
        <f>N66*1.298</f>
        <v>558.14</v>
      </c>
      <c r="Q66" s="11">
        <f>N66*0.76</f>
        <v>326.8</v>
      </c>
      <c r="R66" s="11">
        <f>N66*0.834</f>
        <v>358.62</v>
      </c>
      <c r="S66" s="11">
        <f>N66*0.946</f>
        <v>406.78</v>
      </c>
      <c r="T66" s="33">
        <v>220</v>
      </c>
      <c r="U66" s="33">
        <v>185</v>
      </c>
      <c r="V66" s="11"/>
      <c r="W66" s="33">
        <v>450</v>
      </c>
      <c r="X66" s="11"/>
      <c r="Y66" s="98">
        <v>100</v>
      </c>
    </row>
    <row r="67" spans="1:25" x14ac:dyDescent="0.2">
      <c r="A67" s="10">
        <v>5</v>
      </c>
      <c r="B67" s="42" t="s">
        <v>17</v>
      </c>
      <c r="C67" s="46">
        <f>2.89*H67</f>
        <v>2976.7000000000003</v>
      </c>
      <c r="D67" s="11">
        <f>3.7*H67</f>
        <v>3811</v>
      </c>
      <c r="E67" s="11">
        <f>1.3*H67</f>
        <v>1339</v>
      </c>
      <c r="F67" s="11">
        <f>2.09*H67</f>
        <v>2152.6999999999998</v>
      </c>
      <c r="G67" s="11">
        <f>3*H67</f>
        <v>3090</v>
      </c>
      <c r="H67" s="33">
        <v>1030</v>
      </c>
      <c r="I67" s="11">
        <f>1.44*H67</f>
        <v>1483.2</v>
      </c>
      <c r="J67" s="11">
        <f>1.94*H67</f>
        <v>1998.2</v>
      </c>
      <c r="K67" s="11">
        <f>0.55*H67</f>
        <v>566.5</v>
      </c>
      <c r="L67" s="11">
        <f>0.94*H67</f>
        <v>968.19999999999993</v>
      </c>
      <c r="M67" s="11">
        <f>1.3*H67</f>
        <v>1339</v>
      </c>
      <c r="N67" s="11"/>
      <c r="O67" s="11"/>
      <c r="P67" s="11"/>
      <c r="Q67" s="11"/>
      <c r="R67" s="11"/>
      <c r="S67" s="11"/>
      <c r="T67" s="33">
        <v>500</v>
      </c>
      <c r="U67" s="33">
        <v>330</v>
      </c>
      <c r="V67" s="11"/>
      <c r="W67" s="33">
        <v>650</v>
      </c>
      <c r="X67" s="12"/>
      <c r="Y67" s="98">
        <v>150</v>
      </c>
    </row>
    <row r="68" spans="1:25" ht="12" thickBot="1" x14ac:dyDescent="0.25">
      <c r="A68" s="13">
        <v>6</v>
      </c>
      <c r="B68" s="43" t="s">
        <v>18</v>
      </c>
      <c r="C68" s="48">
        <f>1.816*H68</f>
        <v>908</v>
      </c>
      <c r="D68" s="14">
        <f>2.167*H68</f>
        <v>1083.5</v>
      </c>
      <c r="E68" s="14">
        <f>1.224*H68</f>
        <v>612</v>
      </c>
      <c r="F68" s="14">
        <f>1.425*H68</f>
        <v>712.5</v>
      </c>
      <c r="G68" s="14">
        <f>1.631*H68</f>
        <v>815.5</v>
      </c>
      <c r="H68" s="34">
        <v>500</v>
      </c>
      <c r="I68" s="14">
        <f>1.123*H68</f>
        <v>561.5</v>
      </c>
      <c r="J68" s="14">
        <f>1.291*H68</f>
        <v>645.5</v>
      </c>
      <c r="K68" s="14">
        <f>0.861*H68</f>
        <v>430.5</v>
      </c>
      <c r="L68" s="14">
        <f>0.952*H68</f>
        <v>476</v>
      </c>
      <c r="M68" s="14">
        <f>1.032*H68</f>
        <v>516</v>
      </c>
      <c r="N68" s="14"/>
      <c r="O68" s="14"/>
      <c r="P68" s="14"/>
      <c r="Q68" s="14"/>
      <c r="R68" s="14"/>
      <c r="S68" s="14"/>
      <c r="T68" s="34">
        <v>500</v>
      </c>
      <c r="U68" s="34">
        <v>330</v>
      </c>
      <c r="V68" s="14"/>
      <c r="W68" s="34">
        <v>450</v>
      </c>
      <c r="X68" s="15"/>
      <c r="Y68" s="99">
        <v>150</v>
      </c>
    </row>
    <row r="69" spans="1:25" x14ac:dyDescent="0.2">
      <c r="A69" s="8">
        <v>7</v>
      </c>
      <c r="B69" s="40" t="s">
        <v>19</v>
      </c>
      <c r="C69" s="65">
        <f>1.99*H69</f>
        <v>835.8</v>
      </c>
      <c r="D69" s="66">
        <f>2.228*H69</f>
        <v>935.7600000000001</v>
      </c>
      <c r="E69" s="66">
        <f>1.21*H69</f>
        <v>508.2</v>
      </c>
      <c r="F69" s="66">
        <f>1.429*H69</f>
        <v>600.18000000000006</v>
      </c>
      <c r="G69" s="66">
        <f>1.706*H69</f>
        <v>716.52</v>
      </c>
      <c r="H69" s="96">
        <v>420</v>
      </c>
      <c r="I69" s="66">
        <f>1.149*H69</f>
        <v>482.58</v>
      </c>
      <c r="J69" s="66">
        <f>1.336*H69</f>
        <v>561.12</v>
      </c>
      <c r="K69" s="66">
        <f>0.849*H69</f>
        <v>356.58</v>
      </c>
      <c r="L69" s="66">
        <f>0.957*H69</f>
        <v>401.94</v>
      </c>
      <c r="M69" s="66">
        <f>1.075*H69</f>
        <v>451.5</v>
      </c>
      <c r="N69" s="66"/>
      <c r="O69" s="66"/>
      <c r="P69" s="66"/>
      <c r="Q69" s="66"/>
      <c r="R69" s="66"/>
      <c r="S69" s="66"/>
      <c r="T69" s="96">
        <v>300</v>
      </c>
      <c r="U69" s="96">
        <v>250</v>
      </c>
      <c r="V69" s="66"/>
      <c r="W69" s="96">
        <v>400</v>
      </c>
      <c r="X69" s="67"/>
      <c r="Y69" s="100">
        <v>130</v>
      </c>
    </row>
    <row r="70" spans="1:25" x14ac:dyDescent="0.2">
      <c r="A70" s="10">
        <v>8</v>
      </c>
      <c r="B70" s="42" t="s">
        <v>20</v>
      </c>
      <c r="C70" s="46">
        <f>2.416*H70</f>
        <v>1159.68</v>
      </c>
      <c r="D70" s="11">
        <f>3.06*H70</f>
        <v>1468.8</v>
      </c>
      <c r="E70" s="11">
        <f>1.25*H70</f>
        <v>600</v>
      </c>
      <c r="F70" s="11">
        <f>1.6*H70</f>
        <v>768</v>
      </c>
      <c r="G70" s="11">
        <f>2.1*H70</f>
        <v>1008</v>
      </c>
      <c r="H70" s="33">
        <v>480</v>
      </c>
      <c r="I70" s="11">
        <f>1.25*H70</f>
        <v>600</v>
      </c>
      <c r="J70" s="11">
        <f>1.6*H70</f>
        <v>768</v>
      </c>
      <c r="K70" s="11">
        <f>0.9*H70</f>
        <v>432</v>
      </c>
      <c r="L70" s="11">
        <f>1*H70</f>
        <v>480</v>
      </c>
      <c r="M70" s="11">
        <f>1.1*H70</f>
        <v>528</v>
      </c>
      <c r="N70" s="11"/>
      <c r="O70" s="11"/>
      <c r="P70" s="11"/>
      <c r="Q70" s="11"/>
      <c r="R70" s="11"/>
      <c r="S70" s="11"/>
      <c r="T70" s="33">
        <v>500</v>
      </c>
      <c r="U70" s="33">
        <v>370</v>
      </c>
      <c r="V70" s="11"/>
      <c r="W70" s="33">
        <v>400</v>
      </c>
      <c r="X70" s="12"/>
      <c r="Y70" s="98">
        <v>150</v>
      </c>
    </row>
    <row r="71" spans="1:25" x14ac:dyDescent="0.2">
      <c r="A71" s="10">
        <v>9</v>
      </c>
      <c r="B71" s="42" t="s">
        <v>21</v>
      </c>
      <c r="C71" s="46">
        <f>1.535*H71</f>
        <v>736.8</v>
      </c>
      <c r="D71" s="11">
        <f>1.687*H71</f>
        <v>809.76</v>
      </c>
      <c r="E71" s="11">
        <f>1.195*H71</f>
        <v>573.6</v>
      </c>
      <c r="F71" s="11">
        <f>1.32*H71</f>
        <v>633.6</v>
      </c>
      <c r="G71" s="11">
        <f>1.505*H71</f>
        <v>722.4</v>
      </c>
      <c r="H71" s="33">
        <v>480</v>
      </c>
      <c r="I71" s="11">
        <f>1.106*H71</f>
        <v>530.88</v>
      </c>
      <c r="J71" s="11">
        <f>1.238*H71</f>
        <v>594.24</v>
      </c>
      <c r="K71" s="11">
        <f>0.845*H71</f>
        <v>405.59999999999997</v>
      </c>
      <c r="L71" s="11">
        <f>0.925*H71</f>
        <v>444</v>
      </c>
      <c r="M71" s="11">
        <f>1.021*H71</f>
        <v>490.07999999999993</v>
      </c>
      <c r="N71" s="11"/>
      <c r="O71" s="11"/>
      <c r="P71" s="11"/>
      <c r="Q71" s="11"/>
      <c r="R71" s="11"/>
      <c r="S71" s="11"/>
      <c r="T71" s="33">
        <v>500</v>
      </c>
      <c r="U71" s="33">
        <v>370</v>
      </c>
      <c r="V71" s="11"/>
      <c r="W71" s="33">
        <v>400</v>
      </c>
      <c r="X71" s="12"/>
      <c r="Y71" s="98">
        <v>160</v>
      </c>
    </row>
    <row r="72" spans="1:25" ht="13.5" customHeight="1" thickBot="1" x14ac:dyDescent="0.25">
      <c r="A72" s="13">
        <v>10</v>
      </c>
      <c r="B72" s="43" t="s">
        <v>22</v>
      </c>
      <c r="C72" s="68">
        <f>2.241*H72</f>
        <v>873.99</v>
      </c>
      <c r="D72" s="69">
        <f>2.934*H72</f>
        <v>1144.26</v>
      </c>
      <c r="E72" s="69">
        <f>1.464*H72</f>
        <v>570.96</v>
      </c>
      <c r="F72" s="69">
        <f>1.747*H72</f>
        <v>681.33</v>
      </c>
      <c r="G72" s="69">
        <f>2.103*H72</f>
        <v>820.17000000000007</v>
      </c>
      <c r="H72" s="70">
        <v>390</v>
      </c>
      <c r="I72" s="69">
        <f>1.266*H72</f>
        <v>493.74</v>
      </c>
      <c r="J72" s="69">
        <f>1.507*H72</f>
        <v>587.7299999999999</v>
      </c>
      <c r="K72" s="69">
        <f>0.681*H72</f>
        <v>265.59000000000003</v>
      </c>
      <c r="L72" s="69">
        <f>0.855*H72</f>
        <v>333.45</v>
      </c>
      <c r="M72" s="69">
        <f>1.034*H72</f>
        <v>403.26</v>
      </c>
      <c r="N72" s="69"/>
      <c r="O72" s="69"/>
      <c r="P72" s="69"/>
      <c r="Q72" s="69"/>
      <c r="R72" s="69"/>
      <c r="S72" s="69"/>
      <c r="T72" s="70">
        <v>360</v>
      </c>
      <c r="U72" s="70">
        <v>300</v>
      </c>
      <c r="V72" s="69"/>
      <c r="W72" s="70">
        <v>400</v>
      </c>
      <c r="X72" s="72"/>
      <c r="Y72" s="101">
        <v>150</v>
      </c>
    </row>
    <row r="73" spans="1:25" ht="13.5" customHeight="1" x14ac:dyDescent="0.2">
      <c r="A73" s="8">
        <v>11</v>
      </c>
      <c r="B73" s="40" t="s">
        <v>23</v>
      </c>
      <c r="C73" s="74">
        <f>2.758*H73</f>
        <v>1103.2</v>
      </c>
      <c r="D73" s="9">
        <f>3.492*H73</f>
        <v>1396.8</v>
      </c>
      <c r="E73" s="9">
        <f>1.381*H73</f>
        <v>552.4</v>
      </c>
      <c r="F73" s="9">
        <f>1.947*H73</f>
        <v>778.80000000000007</v>
      </c>
      <c r="G73" s="9">
        <f>2.44*H73</f>
        <v>976</v>
      </c>
      <c r="H73" s="32">
        <v>400</v>
      </c>
      <c r="I73" s="9">
        <f>1.373*H73</f>
        <v>549.20000000000005</v>
      </c>
      <c r="J73" s="9">
        <f>1.839*H73</f>
        <v>735.6</v>
      </c>
      <c r="K73" s="9">
        <f>0.728*H73</f>
        <v>291.2</v>
      </c>
      <c r="L73" s="9">
        <f>0.996*H73</f>
        <v>398.4</v>
      </c>
      <c r="M73" s="9">
        <f>1.238*H73</f>
        <v>495.2</v>
      </c>
      <c r="N73" s="9"/>
      <c r="O73" s="9"/>
      <c r="P73" s="9"/>
      <c r="Q73" s="9"/>
      <c r="R73" s="9"/>
      <c r="S73" s="9"/>
      <c r="T73" s="32">
        <v>360</v>
      </c>
      <c r="U73" s="32">
        <v>300</v>
      </c>
      <c r="V73" s="9"/>
      <c r="W73" s="32">
        <v>400</v>
      </c>
      <c r="X73" s="75"/>
      <c r="Y73" s="97">
        <v>110</v>
      </c>
    </row>
    <row r="74" spans="1:25" ht="13.5" customHeight="1" x14ac:dyDescent="0.2">
      <c r="A74" s="10">
        <v>12</v>
      </c>
      <c r="B74" s="42" t="s">
        <v>24</v>
      </c>
      <c r="C74" s="46">
        <f>2.75*H74</f>
        <v>880</v>
      </c>
      <c r="D74" s="11">
        <f>3.35*H74</f>
        <v>1072</v>
      </c>
      <c r="E74" s="11">
        <f>1.33*H74</f>
        <v>425.6</v>
      </c>
      <c r="F74" s="11">
        <f>2.172*H74</f>
        <v>695.04000000000008</v>
      </c>
      <c r="G74" s="11">
        <f>2.603*H74</f>
        <v>832.96</v>
      </c>
      <c r="H74" s="33">
        <v>320</v>
      </c>
      <c r="I74" s="11">
        <f>1.312*H74</f>
        <v>419.84000000000003</v>
      </c>
      <c r="J74" s="11">
        <f>1.584*H74</f>
        <v>506.88</v>
      </c>
      <c r="K74" s="11">
        <f>0.804*H74</f>
        <v>257.28000000000003</v>
      </c>
      <c r="L74" s="11">
        <f>0.984*H74</f>
        <v>314.88</v>
      </c>
      <c r="M74" s="11">
        <f>1.153*H74</f>
        <v>368.96000000000004</v>
      </c>
      <c r="N74" s="11"/>
      <c r="O74" s="11"/>
      <c r="P74" s="11"/>
      <c r="Q74" s="11"/>
      <c r="R74" s="11"/>
      <c r="S74" s="11"/>
      <c r="T74" s="33">
        <v>300</v>
      </c>
      <c r="U74" s="33">
        <v>230</v>
      </c>
      <c r="V74" s="11"/>
      <c r="W74" s="33">
        <v>400</v>
      </c>
      <c r="X74" s="12"/>
      <c r="Y74" s="98">
        <v>125</v>
      </c>
    </row>
    <row r="75" spans="1:25" x14ac:dyDescent="0.2">
      <c r="A75" s="10">
        <v>13</v>
      </c>
      <c r="B75" s="42" t="s">
        <v>25</v>
      </c>
      <c r="C75" s="46">
        <f>1.742*H75</f>
        <v>566.15</v>
      </c>
      <c r="D75" s="11">
        <f>1.955*H75</f>
        <v>635.375</v>
      </c>
      <c r="E75" s="11">
        <f>1.401*H75</f>
        <v>455.32499999999999</v>
      </c>
      <c r="F75" s="11">
        <f>1.47*H75</f>
        <v>477.75</v>
      </c>
      <c r="G75" s="11">
        <f>1.705*H75</f>
        <v>554.125</v>
      </c>
      <c r="H75" s="33">
        <v>325</v>
      </c>
      <c r="I75" s="11">
        <f>1.136*H75</f>
        <v>369.2</v>
      </c>
      <c r="J75" s="11">
        <f>1.286*H75</f>
        <v>417.95</v>
      </c>
      <c r="K75" s="11">
        <f>0.814*H75</f>
        <v>264.54999999999995</v>
      </c>
      <c r="L75" s="11">
        <f>0.863*H75</f>
        <v>280.47500000000002</v>
      </c>
      <c r="M75" s="11">
        <f>0.971*H75</f>
        <v>315.57499999999999</v>
      </c>
      <c r="N75" s="11"/>
      <c r="O75" s="11"/>
      <c r="P75" s="11"/>
      <c r="Q75" s="11"/>
      <c r="R75" s="11"/>
      <c r="S75" s="11"/>
      <c r="T75" s="33">
        <v>180</v>
      </c>
      <c r="U75" s="33">
        <v>150</v>
      </c>
      <c r="V75" s="11"/>
      <c r="W75" s="33">
        <v>250</v>
      </c>
      <c r="X75" s="12"/>
      <c r="Y75" s="98">
        <v>145</v>
      </c>
    </row>
    <row r="76" spans="1:25" ht="12" thickBot="1" x14ac:dyDescent="0.25">
      <c r="A76" s="25">
        <v>14</v>
      </c>
      <c r="B76" s="44" t="s">
        <v>49</v>
      </c>
      <c r="C76" s="46">
        <f>1.55*H76</f>
        <v>418.5</v>
      </c>
      <c r="D76" s="11">
        <f>1.751*H76</f>
        <v>472.77</v>
      </c>
      <c r="E76" s="11">
        <f>1.124*H76</f>
        <v>303.48</v>
      </c>
      <c r="F76" s="11">
        <f>1.272*H76</f>
        <v>343.44</v>
      </c>
      <c r="G76" s="11">
        <f>1.428*H76</f>
        <v>385.56</v>
      </c>
      <c r="H76" s="33">
        <v>270</v>
      </c>
      <c r="I76" s="11">
        <f>1.118*H76</f>
        <v>301.86</v>
      </c>
      <c r="J76" s="11">
        <f>1.237*H76</f>
        <v>333.99</v>
      </c>
      <c r="K76" s="11">
        <f>0.847*H76</f>
        <v>228.69</v>
      </c>
      <c r="L76" s="11">
        <f>0.956*H76</f>
        <v>258.12</v>
      </c>
      <c r="M76" s="11">
        <f>1.069*H76</f>
        <v>288.63</v>
      </c>
      <c r="N76" s="11"/>
      <c r="O76" s="11"/>
      <c r="P76" s="11"/>
      <c r="Q76" s="11"/>
      <c r="R76" s="11"/>
      <c r="S76" s="11"/>
      <c r="T76" s="33">
        <v>130</v>
      </c>
      <c r="U76" s="33">
        <v>120</v>
      </c>
      <c r="V76" s="11"/>
      <c r="W76" s="33">
        <v>230</v>
      </c>
      <c r="X76" s="12"/>
      <c r="Y76" s="99">
        <v>100</v>
      </c>
    </row>
    <row r="77" spans="1:25" ht="12" thickBot="1" x14ac:dyDescent="0.25">
      <c r="A77" s="13">
        <v>15</v>
      </c>
      <c r="B77" s="43" t="s">
        <v>26</v>
      </c>
      <c r="C77" s="48" t="s">
        <v>38</v>
      </c>
      <c r="D77" s="14" t="s">
        <v>38</v>
      </c>
      <c r="E77" s="14" t="s">
        <v>38</v>
      </c>
      <c r="F77" s="14" t="s">
        <v>38</v>
      </c>
      <c r="G77" s="14" t="s">
        <v>38</v>
      </c>
      <c r="H77" s="34" t="s">
        <v>38</v>
      </c>
      <c r="I77" s="14" t="s">
        <v>38</v>
      </c>
      <c r="J77" s="14" t="s">
        <v>38</v>
      </c>
      <c r="K77" s="14" t="s">
        <v>38</v>
      </c>
      <c r="L77" s="14" t="s">
        <v>38</v>
      </c>
      <c r="M77" s="14" t="s">
        <v>38</v>
      </c>
      <c r="N77" s="14"/>
      <c r="O77" s="14"/>
      <c r="P77" s="14"/>
      <c r="Q77" s="14"/>
      <c r="R77" s="14"/>
      <c r="S77" s="14"/>
      <c r="T77" s="34">
        <v>130</v>
      </c>
      <c r="U77" s="34">
        <v>120</v>
      </c>
      <c r="V77" s="14"/>
      <c r="W77" s="34">
        <v>230</v>
      </c>
      <c r="X77" s="15"/>
      <c r="Y77" s="99">
        <v>100</v>
      </c>
    </row>
    <row r="79" spans="1:25" ht="12" thickBot="1" x14ac:dyDescent="0.25">
      <c r="B79" s="2" t="s">
        <v>50</v>
      </c>
      <c r="F79" s="29" t="s">
        <v>2</v>
      </c>
      <c r="G79" s="29"/>
      <c r="H79" s="29"/>
      <c r="I79" s="29"/>
      <c r="J79" s="29"/>
      <c r="K79" s="29"/>
      <c r="L79" s="52"/>
      <c r="M79" s="52"/>
      <c r="N79" s="52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55"/>
    </row>
    <row r="80" spans="1:25" ht="15" customHeight="1" x14ac:dyDescent="0.2">
      <c r="B80" s="128"/>
      <c r="C80" s="126" t="s">
        <v>37</v>
      </c>
      <c r="D80" s="126" t="s">
        <v>27</v>
      </c>
      <c r="E80" s="126" t="s">
        <v>28</v>
      </c>
      <c r="F80" s="112" t="s">
        <v>29</v>
      </c>
      <c r="H80" s="18"/>
      <c r="I80" s="18"/>
      <c r="K80" s="119"/>
      <c r="L80" s="119"/>
      <c r="M80" s="119"/>
      <c r="N80" s="119"/>
      <c r="O80" s="116"/>
      <c r="P80" s="116"/>
      <c r="Q80" s="18"/>
      <c r="R80" s="117"/>
      <c r="S80" s="117"/>
      <c r="T80" s="77"/>
      <c r="Y80" s="1"/>
    </row>
    <row r="81" spans="1:25" x14ac:dyDescent="0.2">
      <c r="B81" s="129"/>
      <c r="C81" s="127"/>
      <c r="D81" s="127"/>
      <c r="E81" s="127"/>
      <c r="F81" s="113"/>
      <c r="H81" s="18"/>
      <c r="I81" s="18"/>
      <c r="K81" s="119"/>
      <c r="L81" s="119"/>
      <c r="M81" s="119"/>
      <c r="N81" s="119"/>
      <c r="O81" s="116"/>
      <c r="P81" s="116"/>
      <c r="Q81" s="18"/>
      <c r="R81" s="117"/>
      <c r="S81" s="117"/>
      <c r="T81" s="77"/>
      <c r="Y81" s="1"/>
    </row>
    <row r="82" spans="1:25" x14ac:dyDescent="0.2">
      <c r="B82" s="10" t="s">
        <v>14</v>
      </c>
      <c r="C82" s="4" t="s">
        <v>15</v>
      </c>
      <c r="D82" s="4" t="s">
        <v>30</v>
      </c>
      <c r="E82" s="76" t="s">
        <v>15</v>
      </c>
      <c r="F82" s="5" t="s">
        <v>30</v>
      </c>
      <c r="H82" s="18"/>
      <c r="I82" s="18"/>
      <c r="K82" s="18"/>
      <c r="L82" s="18"/>
      <c r="M82" s="18"/>
      <c r="N82" s="18"/>
      <c r="R82" s="120"/>
      <c r="S82" s="120"/>
      <c r="T82" s="61"/>
      <c r="Y82" s="1"/>
    </row>
    <row r="83" spans="1:25" x14ac:dyDescent="0.2">
      <c r="B83" s="10" t="s">
        <v>16</v>
      </c>
      <c r="C83" s="23">
        <v>30</v>
      </c>
      <c r="D83" s="23">
        <v>13</v>
      </c>
      <c r="E83" s="102">
        <v>10</v>
      </c>
      <c r="F83" s="103">
        <v>150</v>
      </c>
      <c r="H83" s="30"/>
      <c r="I83" s="18"/>
      <c r="K83" s="60"/>
      <c r="L83" s="60"/>
      <c r="M83" s="60"/>
      <c r="N83" s="60"/>
      <c r="R83" s="120"/>
      <c r="S83" s="120"/>
      <c r="T83" s="64"/>
      <c r="Y83" s="1"/>
    </row>
    <row r="84" spans="1:25" x14ac:dyDescent="0.2">
      <c r="B84" s="10" t="s">
        <v>40</v>
      </c>
      <c r="C84" s="23">
        <v>40</v>
      </c>
      <c r="D84" s="23"/>
      <c r="E84" s="104"/>
      <c r="F84" s="103"/>
      <c r="K84" s="18"/>
      <c r="L84" s="18"/>
      <c r="M84" s="18"/>
      <c r="O84" s="18"/>
      <c r="P84" s="18"/>
      <c r="Q84" s="18"/>
      <c r="R84" s="18"/>
      <c r="V84" s="116"/>
      <c r="W84" s="116"/>
      <c r="X84" s="18"/>
      <c r="Y84" s="1"/>
    </row>
    <row r="85" spans="1:25" ht="15.75" customHeight="1" x14ac:dyDescent="0.2">
      <c r="B85" s="10" t="s">
        <v>31</v>
      </c>
      <c r="C85" s="23">
        <v>40</v>
      </c>
      <c r="D85" s="23">
        <v>13</v>
      </c>
      <c r="E85" s="102">
        <v>10</v>
      </c>
      <c r="F85" s="103">
        <v>150</v>
      </c>
      <c r="O85" s="18"/>
      <c r="P85" s="18"/>
      <c r="Q85" s="18"/>
      <c r="R85" s="18"/>
      <c r="V85" s="116"/>
      <c r="W85" s="116"/>
      <c r="X85" s="18"/>
      <c r="Y85" s="1"/>
    </row>
    <row r="86" spans="1:25" ht="12" thickBot="1" x14ac:dyDescent="0.25">
      <c r="B86" s="13" t="s">
        <v>32</v>
      </c>
      <c r="C86" s="82">
        <v>30</v>
      </c>
      <c r="D86" s="82"/>
      <c r="E86" s="105"/>
      <c r="F86" s="106"/>
      <c r="X86" s="24"/>
      <c r="Y86" s="1"/>
    </row>
    <row r="87" spans="1:25" x14ac:dyDescent="0.2">
      <c r="B87" s="18"/>
      <c r="C87" s="18"/>
      <c r="D87" s="28"/>
      <c r="E87" s="28"/>
      <c r="F87" s="18"/>
      <c r="G87" s="18"/>
      <c r="H87" s="16"/>
      <c r="I87" s="16"/>
      <c r="J87" s="16"/>
      <c r="K87" s="16"/>
      <c r="L87" s="16"/>
      <c r="M87" s="16"/>
    </row>
    <row r="88" spans="1:25" x14ac:dyDescent="0.2">
      <c r="B88" s="18"/>
      <c r="C88" s="18"/>
      <c r="D88" s="28"/>
      <c r="E88" s="28"/>
      <c r="F88" s="18"/>
      <c r="G88" s="18"/>
      <c r="H88" s="16"/>
      <c r="I88" s="16"/>
      <c r="J88" s="16"/>
      <c r="K88" s="16"/>
      <c r="L88" s="16"/>
      <c r="M88" s="16"/>
    </row>
    <row r="89" spans="1:25" x14ac:dyDescent="0.2">
      <c r="B89" s="18"/>
      <c r="C89" s="18"/>
      <c r="D89" s="28"/>
      <c r="E89" s="28"/>
      <c r="F89" s="18"/>
      <c r="G89" s="18"/>
      <c r="H89" s="16"/>
      <c r="I89" s="16"/>
      <c r="J89" s="16"/>
      <c r="K89" s="16"/>
      <c r="L89" s="16"/>
      <c r="M89" s="16"/>
    </row>
    <row r="90" spans="1:25" x14ac:dyDescent="0.2">
      <c r="B90" s="18" t="s">
        <v>41</v>
      </c>
      <c r="C90" s="18"/>
      <c r="D90" s="28"/>
      <c r="E90" s="28"/>
      <c r="F90" s="18"/>
      <c r="G90" s="18"/>
      <c r="H90" s="16"/>
      <c r="I90" s="16"/>
      <c r="J90" s="16"/>
      <c r="K90" s="16"/>
      <c r="L90" s="16"/>
      <c r="M90" s="16"/>
    </row>
    <row r="91" spans="1:25" x14ac:dyDescent="0.2">
      <c r="B91" s="26" t="s">
        <v>43</v>
      </c>
      <c r="C91" s="26"/>
      <c r="D91" s="26"/>
      <c r="E91" s="26"/>
      <c r="F91" s="26"/>
      <c r="G91" s="26"/>
      <c r="H91" s="26"/>
      <c r="I91" s="26"/>
      <c r="J91" s="26"/>
      <c r="K91" s="37"/>
      <c r="L91" s="37"/>
      <c r="M91" s="37"/>
      <c r="N91" s="26"/>
      <c r="O91" s="26"/>
      <c r="P91" s="26"/>
      <c r="Q91" s="57"/>
      <c r="R91" s="57"/>
      <c r="S91" s="57"/>
      <c r="W91" s="26"/>
      <c r="X91" s="26"/>
      <c r="Y91" s="56"/>
    </row>
    <row r="92" spans="1:25" x14ac:dyDescent="0.2">
      <c r="B92" s="27"/>
      <c r="C92" s="27"/>
      <c r="D92" s="27"/>
      <c r="E92" s="27"/>
      <c r="F92" s="27"/>
      <c r="G92" s="27"/>
      <c r="H92" s="27"/>
      <c r="I92" s="27"/>
      <c r="J92" s="27"/>
      <c r="K92" s="36"/>
      <c r="L92" s="36"/>
      <c r="M92" s="36"/>
      <c r="N92" s="27"/>
      <c r="O92" s="27"/>
      <c r="P92" s="27"/>
      <c r="Q92" s="58"/>
      <c r="R92" s="58"/>
      <c r="S92" s="58"/>
      <c r="W92" s="27"/>
      <c r="X92" s="27"/>
      <c r="Y92" s="54"/>
    </row>
    <row r="93" spans="1:25" x14ac:dyDescent="0.2">
      <c r="B93" s="27"/>
      <c r="C93" s="27"/>
      <c r="D93" s="27"/>
      <c r="E93" s="27"/>
      <c r="F93" s="27"/>
      <c r="G93" s="27"/>
      <c r="H93" s="27"/>
      <c r="I93" s="27"/>
      <c r="J93" s="27"/>
      <c r="K93" s="36"/>
      <c r="L93" s="36"/>
      <c r="M93" s="36"/>
      <c r="N93" s="27"/>
      <c r="O93" s="27"/>
      <c r="P93" s="27"/>
      <c r="Q93" s="58"/>
      <c r="R93" s="58"/>
      <c r="S93" s="58"/>
      <c r="W93" s="27"/>
      <c r="X93" s="27"/>
      <c r="Y93" s="54"/>
    </row>
    <row r="95" spans="1:25" x14ac:dyDescent="0.2">
      <c r="A95" s="1" t="s">
        <v>39</v>
      </c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27"/>
      <c r="P95" s="27"/>
      <c r="Q95" s="58"/>
      <c r="R95" s="58"/>
      <c r="S95" s="58"/>
      <c r="W95" s="27"/>
      <c r="X95" s="27"/>
      <c r="Y95" s="54"/>
    </row>
    <row r="96" spans="1:25" x14ac:dyDescent="0.2">
      <c r="B96" s="20" t="s">
        <v>53</v>
      </c>
      <c r="C96" s="20"/>
      <c r="D96" s="20"/>
      <c r="E96" s="20"/>
      <c r="F96" s="20"/>
    </row>
    <row r="99" spans="21:25" x14ac:dyDescent="0.2">
      <c r="U99" s="2"/>
      <c r="W99" s="2"/>
      <c r="X99" s="24"/>
      <c r="Y99" s="1"/>
    </row>
  </sheetData>
  <mergeCells count="57">
    <mergeCell ref="K80:N81"/>
    <mergeCell ref="F80:F81"/>
    <mergeCell ref="B80:B81"/>
    <mergeCell ref="C80:C81"/>
    <mergeCell ref="D80:D81"/>
    <mergeCell ref="E80:E81"/>
    <mergeCell ref="A60:A62"/>
    <mergeCell ref="C60:D60"/>
    <mergeCell ref="E60:G60"/>
    <mergeCell ref="C31:C32"/>
    <mergeCell ref="D31:D32"/>
    <mergeCell ref="E31:E32"/>
    <mergeCell ref="B95:N95"/>
    <mergeCell ref="A1:Y1"/>
    <mergeCell ref="V11:W11"/>
    <mergeCell ref="B40:Y40"/>
    <mergeCell ref="B3:Y3"/>
    <mergeCell ref="B4:Y4"/>
    <mergeCell ref="B5:Y5"/>
    <mergeCell ref="B6:Y6"/>
    <mergeCell ref="B9:Y9"/>
    <mergeCell ref="B29:Y29"/>
    <mergeCell ref="B58:Y58"/>
    <mergeCell ref="G59:Y59"/>
    <mergeCell ref="Q11:S11"/>
    <mergeCell ref="A11:A13"/>
    <mergeCell ref="C11:D11"/>
    <mergeCell ref="E11:G11"/>
    <mergeCell ref="N11:P11"/>
    <mergeCell ref="N60:P60"/>
    <mergeCell ref="R33:S33"/>
    <mergeCell ref="R34:S34"/>
    <mergeCell ref="V35:W35"/>
    <mergeCell ref="V36:W36"/>
    <mergeCell ref="V85:W85"/>
    <mergeCell ref="V84:W84"/>
    <mergeCell ref="R83:S83"/>
    <mergeCell ref="R82:S82"/>
    <mergeCell ref="O81:P81"/>
    <mergeCell ref="R80:S81"/>
    <mergeCell ref="O80:P80"/>
    <mergeCell ref="H60:J60"/>
    <mergeCell ref="E2:V2"/>
    <mergeCell ref="A2:D2"/>
    <mergeCell ref="F31:F32"/>
    <mergeCell ref="B31:B32"/>
    <mergeCell ref="B7:Y7"/>
    <mergeCell ref="B8:Y8"/>
    <mergeCell ref="O31:P31"/>
    <mergeCell ref="O32:P32"/>
    <mergeCell ref="R31:S32"/>
    <mergeCell ref="V60:W60"/>
    <mergeCell ref="Q60:S60"/>
    <mergeCell ref="H11:J11"/>
    <mergeCell ref="K11:M11"/>
    <mergeCell ref="K60:M60"/>
    <mergeCell ref="N31:N32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2023-01-12T11:35:28Z</dcterms:modified>
</cp:coreProperties>
</file>